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819"/>
  <workbookPr showInkAnnotation="0" autoCompressPictures="0"/>
  <bookViews>
    <workbookView xWindow="480" yWindow="480" windowWidth="25120" windowHeight="14980" tabRatio="978"/>
  </bookViews>
  <sheets>
    <sheet name="RESUMEN" sheetId="1" r:id="rId1"/>
    <sheet name="FACTIBIL., ESTRUC., E INVERSION" sheetId="3" r:id="rId2"/>
    <sheet name="CONSULTORIA  Y DISEÑOS" sheetId="2" r:id="rId3"/>
    <sheet name="AEROPUERTOS" sheetId="5" r:id="rId4"/>
    <sheet name="CARRETERAS" sheetId="6" r:id="rId5"/>
    <sheet name="VIAS URBANAS" sheetId="7" r:id="rId6"/>
    <sheet name="PUENTES Y PONTONES" sheetId="8" r:id="rId7"/>
    <sheet name="PARQUES Y E. DEPORTIVOS" sheetId="9" r:id="rId8"/>
    <sheet name="EDIFICACIONES Y VIVIENDAS" sheetId="10" r:id="rId9"/>
    <sheet name="PLANTAS INDUSTRIALES" sheetId="11" r:id="rId10"/>
    <sheet name="OBRAS HIDRAULICAS Y SANITARIAS" sheetId="12" r:id="rId11"/>
    <sheet name="OBRAS ELECTRICAS Y TELECOMUNIC." sheetId="13" r:id="rId12"/>
    <sheet name="INTERVENTORIAS" sheetId="4" r:id="rId13"/>
    <sheet name="Hoja14" sheetId="14" r:id="rId14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L24" i="4" l="1"/>
  <c r="A15" i="4"/>
  <c r="A16" i="4"/>
  <c r="A17" i="4"/>
  <c r="A18" i="4"/>
  <c r="A19" i="4"/>
  <c r="A20" i="4"/>
  <c r="A21" i="4"/>
  <c r="A22" i="4"/>
  <c r="A23" i="4"/>
  <c r="A24" i="4"/>
  <c r="L23" i="4"/>
  <c r="L22" i="4"/>
  <c r="L21" i="4"/>
  <c r="L20" i="4"/>
  <c r="L19" i="4"/>
  <c r="L18" i="4"/>
  <c r="L17" i="4"/>
  <c r="J16" i="4"/>
  <c r="L16" i="4"/>
  <c r="G16" i="4"/>
  <c r="L15" i="4"/>
  <c r="L14" i="4"/>
  <c r="L13" i="4"/>
  <c r="L12" i="4"/>
  <c r="A10" i="4"/>
  <c r="A11" i="4"/>
  <c r="A12" i="4"/>
  <c r="L11" i="4"/>
  <c r="L10" i="4"/>
  <c r="L9" i="4"/>
  <c r="J9" i="13"/>
  <c r="L9" i="13"/>
  <c r="M9" i="13"/>
  <c r="B10" i="13"/>
  <c r="J10" i="13"/>
  <c r="L10" i="13"/>
  <c r="M10" i="13"/>
  <c r="B11" i="13"/>
  <c r="J11" i="13"/>
  <c r="L11" i="13"/>
  <c r="M11" i="13"/>
  <c r="B12" i="13"/>
  <c r="J12" i="13"/>
  <c r="L12" i="13"/>
  <c r="M12" i="13"/>
  <c r="B13" i="13"/>
  <c r="J13" i="13"/>
  <c r="L13" i="13"/>
  <c r="M13" i="13"/>
  <c r="B14" i="13"/>
  <c r="J14" i="13"/>
  <c r="L14" i="13"/>
  <c r="M14" i="13"/>
  <c r="B15" i="13"/>
  <c r="J15" i="13"/>
  <c r="L15" i="13"/>
  <c r="M15" i="13"/>
  <c r="B16" i="13"/>
  <c r="J16" i="13"/>
  <c r="L16" i="13"/>
  <c r="M16" i="13"/>
  <c r="B17" i="13"/>
  <c r="J17" i="13"/>
  <c r="L17" i="13"/>
  <c r="M17" i="13"/>
  <c r="B18" i="13"/>
  <c r="J18" i="13"/>
  <c r="L18" i="13"/>
  <c r="M18" i="13"/>
  <c r="B19" i="13"/>
  <c r="J19" i="13"/>
  <c r="L19" i="13"/>
  <c r="M19" i="13"/>
  <c r="B20" i="13"/>
  <c r="J20" i="13"/>
  <c r="L20" i="13"/>
  <c r="M20" i="13"/>
  <c r="B21" i="13"/>
  <c r="J21" i="13"/>
  <c r="L21" i="13"/>
  <c r="M21" i="13"/>
  <c r="B22" i="13"/>
  <c r="J22" i="13"/>
  <c r="L22" i="13"/>
  <c r="M22" i="13"/>
  <c r="B23" i="13"/>
  <c r="J23" i="13"/>
  <c r="L23" i="13"/>
  <c r="M23" i="13"/>
  <c r="B24" i="13"/>
  <c r="J24" i="13"/>
  <c r="L24" i="13"/>
  <c r="M24" i="13"/>
  <c r="B25" i="13"/>
  <c r="J25" i="13"/>
  <c r="L25" i="13"/>
  <c r="M25" i="13"/>
  <c r="B26" i="13"/>
  <c r="J26" i="13"/>
  <c r="L26" i="13"/>
  <c r="M26" i="13"/>
  <c r="B27" i="13"/>
  <c r="J27" i="13"/>
  <c r="L27" i="13"/>
  <c r="M27" i="13"/>
  <c r="B28" i="13"/>
  <c r="J28" i="13"/>
  <c r="L28" i="13"/>
  <c r="M28" i="13"/>
  <c r="B29" i="13"/>
  <c r="K20" i="12"/>
  <c r="M20" i="12"/>
  <c r="L20" i="12"/>
  <c r="H20" i="12"/>
  <c r="M19" i="12"/>
  <c r="L19" i="12"/>
  <c r="J19" i="12"/>
  <c r="M18" i="12"/>
  <c r="L18" i="12"/>
  <c r="J18" i="12"/>
  <c r="M17" i="12"/>
  <c r="L17" i="12"/>
  <c r="J17" i="12"/>
  <c r="M16" i="12"/>
  <c r="L16" i="12"/>
  <c r="J16" i="12"/>
  <c r="M15" i="12"/>
  <c r="L15" i="12"/>
  <c r="J15" i="12"/>
  <c r="M14" i="12"/>
  <c r="L14" i="12"/>
  <c r="J14" i="12"/>
  <c r="M13" i="12"/>
  <c r="L13" i="12"/>
  <c r="J13" i="12"/>
  <c r="M12" i="12"/>
  <c r="L12" i="12"/>
  <c r="J12" i="12"/>
  <c r="M11" i="12"/>
  <c r="L11" i="12"/>
  <c r="J11" i="12"/>
  <c r="M10" i="12"/>
  <c r="L10" i="12"/>
  <c r="J10" i="12"/>
  <c r="M9" i="12"/>
  <c r="L9" i="12"/>
  <c r="J9" i="12"/>
  <c r="M10" i="11"/>
  <c r="M9" i="11"/>
  <c r="H20" i="10"/>
  <c r="B10" i="10"/>
  <c r="B11" i="10"/>
  <c r="B12" i="10"/>
  <c r="B13" i="10"/>
  <c r="B14" i="10"/>
  <c r="B15" i="10"/>
  <c r="B16" i="10"/>
  <c r="B17" i="10"/>
  <c r="B18" i="10"/>
  <c r="B19" i="10"/>
  <c r="B20" i="10"/>
  <c r="K19" i="10"/>
  <c r="M19" i="10"/>
  <c r="H19" i="10"/>
  <c r="H18" i="10"/>
  <c r="H17" i="10"/>
  <c r="H16" i="10"/>
  <c r="H15" i="10"/>
  <c r="H14" i="10"/>
  <c r="H13" i="10"/>
  <c r="H12" i="10"/>
  <c r="K11" i="10"/>
  <c r="M11" i="10"/>
  <c r="L11" i="10"/>
  <c r="H11" i="10"/>
  <c r="M10" i="10"/>
  <c r="H10" i="10"/>
  <c r="M9" i="10"/>
  <c r="H9" i="10"/>
  <c r="L9" i="10"/>
  <c r="J9" i="10"/>
  <c r="K16" i="9"/>
  <c r="M16" i="9"/>
  <c r="L16" i="9"/>
  <c r="H16" i="9"/>
  <c r="M14" i="9"/>
  <c r="K11" i="9"/>
  <c r="M11" i="9"/>
  <c r="L11" i="9"/>
  <c r="H11" i="9"/>
  <c r="K10" i="9"/>
  <c r="M10" i="9"/>
  <c r="L10" i="9"/>
  <c r="H10" i="9"/>
  <c r="K9" i="9"/>
  <c r="M9" i="9"/>
  <c r="L9" i="9"/>
  <c r="H9" i="9"/>
  <c r="I15" i="8"/>
  <c r="K15" i="8"/>
  <c r="M15" i="8"/>
  <c r="L15" i="8"/>
  <c r="H15" i="8"/>
  <c r="K14" i="8"/>
  <c r="M14" i="8"/>
  <c r="H14" i="8"/>
  <c r="M13" i="8"/>
  <c r="L13" i="8"/>
  <c r="I13" i="8"/>
  <c r="H13" i="8"/>
  <c r="M12" i="8"/>
  <c r="L12" i="8"/>
  <c r="I12" i="8"/>
  <c r="H12" i="8"/>
  <c r="K11" i="8"/>
  <c r="M11" i="8"/>
  <c r="L11" i="8"/>
  <c r="H11" i="8"/>
  <c r="K10" i="8"/>
  <c r="M10" i="8"/>
  <c r="L10" i="8"/>
  <c r="H10" i="8"/>
  <c r="I9" i="8"/>
  <c r="K9" i="8"/>
  <c r="M9" i="8"/>
  <c r="L9" i="8"/>
  <c r="H9" i="8"/>
  <c r="H18" i="7"/>
  <c r="H17" i="7"/>
  <c r="K16" i="7"/>
  <c r="M16" i="7"/>
  <c r="L16" i="7"/>
  <c r="H16" i="7"/>
  <c r="M15" i="7"/>
  <c r="L15" i="7"/>
  <c r="H15" i="7"/>
  <c r="K14" i="7"/>
  <c r="H14" i="7"/>
  <c r="M13" i="7"/>
  <c r="L13" i="7"/>
  <c r="H13" i="7"/>
  <c r="K12" i="7"/>
  <c r="M12" i="7"/>
  <c r="L12" i="7"/>
  <c r="H12" i="7"/>
  <c r="I11" i="7"/>
  <c r="K11" i="7"/>
  <c r="M11" i="7"/>
  <c r="L11" i="7"/>
  <c r="H11" i="7"/>
  <c r="H10" i="7"/>
  <c r="K9" i="7"/>
  <c r="M9" i="7"/>
  <c r="L9" i="7"/>
  <c r="H9" i="7"/>
  <c r="M32" i="6"/>
  <c r="L32" i="6"/>
  <c r="H32" i="6"/>
  <c r="B8" i="6"/>
  <c r="B9" i="6"/>
  <c r="B10" i="6"/>
  <c r="B11" i="6"/>
  <c r="B12" i="6"/>
  <c r="B13" i="6"/>
  <c r="B14" i="6"/>
  <c r="B15" i="6"/>
  <c r="B16" i="6"/>
  <c r="B17" i="6"/>
  <c r="B18" i="6"/>
  <c r="B19" i="6"/>
  <c r="B20" i="6"/>
  <c r="B21" i="6"/>
  <c r="B22" i="6"/>
  <c r="B23" i="6"/>
  <c r="B24" i="6"/>
  <c r="B25" i="6"/>
  <c r="B26" i="6"/>
  <c r="B27" i="6"/>
  <c r="B28" i="6"/>
  <c r="B29" i="6"/>
  <c r="B30" i="6"/>
  <c r="B31" i="6"/>
  <c r="B32" i="6"/>
  <c r="I31" i="6"/>
  <c r="K31" i="6"/>
  <c r="M31" i="6"/>
  <c r="L31" i="6"/>
  <c r="H31" i="6"/>
  <c r="M30" i="6"/>
  <c r="L30" i="6"/>
  <c r="H30" i="6"/>
  <c r="M29" i="6"/>
  <c r="L29" i="6"/>
  <c r="H29" i="6"/>
  <c r="K28" i="6"/>
  <c r="M28" i="6"/>
  <c r="L28" i="6"/>
  <c r="H28" i="6"/>
  <c r="A27" i="6"/>
  <c r="A28" i="6"/>
  <c r="K27" i="6"/>
  <c r="M27" i="6"/>
  <c r="L27" i="6"/>
  <c r="H27" i="6"/>
  <c r="K26" i="6"/>
  <c r="M26" i="6"/>
  <c r="L26" i="6"/>
  <c r="H26" i="6"/>
  <c r="A26" i="6"/>
  <c r="K25" i="6"/>
  <c r="M25" i="6"/>
  <c r="L25" i="6"/>
  <c r="H25" i="6"/>
  <c r="A23" i="6"/>
  <c r="A24" i="6"/>
  <c r="A25" i="6"/>
  <c r="I24" i="6"/>
  <c r="K24" i="6"/>
  <c r="M24" i="6"/>
  <c r="L24" i="6"/>
  <c r="H24" i="6"/>
  <c r="K23" i="6"/>
  <c r="M23" i="6"/>
  <c r="L23" i="6"/>
  <c r="H23" i="6"/>
  <c r="I22" i="6"/>
  <c r="K22" i="6"/>
  <c r="M22" i="6"/>
  <c r="L22" i="6"/>
  <c r="H22" i="6"/>
  <c r="A21" i="6"/>
  <c r="A22" i="6"/>
  <c r="I21" i="6"/>
  <c r="K21" i="6"/>
  <c r="M21" i="6"/>
  <c r="L21" i="6"/>
  <c r="H21" i="6"/>
  <c r="K20" i="6"/>
  <c r="M20" i="6"/>
  <c r="L20" i="6"/>
  <c r="H20" i="6"/>
  <c r="A20" i="6"/>
  <c r="K19" i="6"/>
  <c r="M19" i="6"/>
  <c r="L19" i="6"/>
  <c r="H19" i="6"/>
  <c r="A17" i="6"/>
  <c r="A18" i="6"/>
  <c r="A19" i="6"/>
  <c r="I18" i="6"/>
  <c r="K18" i="6"/>
  <c r="M18" i="6"/>
  <c r="L18" i="6"/>
  <c r="H18" i="6"/>
  <c r="I17" i="6"/>
  <c r="K17" i="6"/>
  <c r="M17" i="6"/>
  <c r="L17" i="6"/>
  <c r="H17" i="6"/>
  <c r="I16" i="6"/>
  <c r="K16" i="6"/>
  <c r="M16" i="6"/>
  <c r="L16" i="6"/>
  <c r="H16" i="6"/>
  <c r="A16" i="6"/>
  <c r="I15" i="6"/>
  <c r="K15" i="6"/>
  <c r="M15" i="6"/>
  <c r="L15" i="6"/>
  <c r="H15" i="6"/>
  <c r="A15" i="6"/>
  <c r="I14" i="6"/>
  <c r="K14" i="6"/>
  <c r="M14" i="6"/>
  <c r="L14" i="6"/>
  <c r="H14" i="6"/>
  <c r="A13" i="6"/>
  <c r="A14" i="6"/>
  <c r="K13" i="6"/>
  <c r="M13" i="6"/>
  <c r="L13" i="6"/>
  <c r="H13" i="6"/>
  <c r="K12" i="6"/>
  <c r="M12" i="6"/>
  <c r="L12" i="6"/>
  <c r="H12" i="6"/>
  <c r="A11" i="6"/>
  <c r="A12" i="6"/>
  <c r="K11" i="6"/>
  <c r="M11" i="6"/>
  <c r="L11" i="6"/>
  <c r="H11" i="6"/>
  <c r="K10" i="6"/>
  <c r="M10" i="6"/>
  <c r="L10" i="6"/>
  <c r="H10" i="6"/>
  <c r="A9" i="6"/>
  <c r="A10" i="6"/>
  <c r="K9" i="6"/>
  <c r="M9" i="6"/>
  <c r="L9" i="6"/>
  <c r="H9" i="6"/>
  <c r="K8" i="6"/>
  <c r="M8" i="6"/>
  <c r="L8" i="6"/>
  <c r="F8" i="6"/>
  <c r="H8" i="6"/>
  <c r="A7" i="6"/>
  <c r="A8" i="6"/>
  <c r="K7" i="6"/>
  <c r="M7" i="6"/>
  <c r="L7" i="6"/>
  <c r="H7" i="6"/>
  <c r="M13" i="5"/>
  <c r="L13" i="5"/>
  <c r="H13" i="5"/>
  <c r="I12" i="5"/>
  <c r="K12" i="5"/>
  <c r="M12" i="5"/>
  <c r="L12" i="5"/>
  <c r="H12" i="5"/>
  <c r="K10" i="5"/>
  <c r="M10" i="5"/>
  <c r="L10" i="5"/>
  <c r="H10" i="5"/>
  <c r="A10" i="5"/>
  <c r="M35" i="2"/>
  <c r="H35" i="2"/>
  <c r="M34" i="2"/>
  <c r="K33" i="2"/>
  <c r="M33" i="2"/>
  <c r="H33" i="2"/>
  <c r="K32" i="2"/>
  <c r="M32" i="2"/>
  <c r="H32" i="2"/>
  <c r="M31" i="2"/>
  <c r="H31" i="2"/>
  <c r="M30" i="2"/>
  <c r="H30" i="2"/>
  <c r="M29" i="2"/>
  <c r="K28" i="2"/>
  <c r="M28" i="2"/>
  <c r="L28" i="2"/>
  <c r="H28" i="2"/>
  <c r="M27" i="2"/>
  <c r="M26" i="2"/>
  <c r="M25" i="2"/>
  <c r="M24" i="2"/>
  <c r="M23" i="2"/>
  <c r="M22" i="2"/>
  <c r="M21" i="2"/>
  <c r="K20" i="2"/>
  <c r="M20" i="2"/>
  <c r="L20" i="2"/>
  <c r="H20" i="2"/>
  <c r="M18" i="2"/>
  <c r="M17" i="2"/>
  <c r="M14" i="2"/>
  <c r="M13" i="2"/>
  <c r="M12" i="2"/>
  <c r="M11" i="2"/>
  <c r="M10" i="2"/>
  <c r="M8" i="2"/>
  <c r="M7" i="2"/>
  <c r="M30" i="3"/>
  <c r="M29" i="3"/>
  <c r="M28" i="3"/>
  <c r="M27" i="3"/>
  <c r="M26" i="3"/>
  <c r="M25" i="3"/>
  <c r="M24" i="3"/>
  <c r="M23" i="3"/>
  <c r="M22" i="3"/>
  <c r="M21" i="3"/>
  <c r="M20" i="3"/>
  <c r="M19" i="3"/>
  <c r="M18" i="3"/>
  <c r="M17" i="3"/>
  <c r="M16" i="3"/>
  <c r="M15" i="3"/>
  <c r="M14" i="3"/>
  <c r="M13" i="3"/>
  <c r="M12" i="3"/>
  <c r="L12" i="3"/>
  <c r="H12" i="3"/>
  <c r="M11" i="3"/>
  <c r="M9" i="3"/>
  <c r="B9" i="3"/>
  <c r="M8" i="3"/>
  <c r="M7" i="3"/>
  <c r="M31" i="1"/>
  <c r="M30" i="1"/>
  <c r="M29" i="1"/>
  <c r="M28" i="1"/>
  <c r="M27" i="1"/>
  <c r="M26" i="1"/>
  <c r="M25" i="1"/>
  <c r="M24" i="1"/>
  <c r="M23" i="1"/>
  <c r="M22" i="1"/>
  <c r="M21" i="1"/>
  <c r="M19" i="1"/>
  <c r="M20" i="1"/>
  <c r="M18" i="1"/>
  <c r="M17" i="1"/>
  <c r="M16" i="1"/>
  <c r="M15" i="1"/>
  <c r="M14" i="1"/>
  <c r="M12" i="1"/>
  <c r="B10" i="1"/>
  <c r="M13" i="1"/>
  <c r="L13" i="1"/>
  <c r="H13" i="1"/>
  <c r="M278" i="1"/>
  <c r="M277" i="1"/>
  <c r="M276" i="1"/>
  <c r="M275" i="1"/>
  <c r="M274" i="1"/>
  <c r="M273" i="1"/>
  <c r="M272" i="1"/>
  <c r="M271" i="1"/>
  <c r="M269" i="1"/>
  <c r="K270" i="1"/>
  <c r="M270" i="1"/>
  <c r="M268" i="1"/>
  <c r="M265" i="1"/>
  <c r="M264" i="1"/>
  <c r="M267" i="1"/>
  <c r="M266" i="1"/>
  <c r="M263" i="1"/>
  <c r="M10" i="1"/>
  <c r="M9" i="1"/>
  <c r="M8" i="1"/>
  <c r="B264" i="1"/>
  <c r="B265" i="1"/>
  <c r="B266" i="1"/>
  <c r="B269" i="1"/>
  <c r="B270" i="1"/>
  <c r="B271" i="1"/>
  <c r="B272" i="1"/>
  <c r="B273" i="1"/>
  <c r="B274" i="1"/>
  <c r="B275" i="1"/>
  <c r="B276" i="1"/>
  <c r="B277" i="1"/>
  <c r="B278" i="1"/>
  <c r="H270" i="1"/>
  <c r="M55" i="1"/>
  <c r="M69" i="1"/>
  <c r="M68" i="1"/>
  <c r="K67" i="1"/>
  <c r="M67" i="1"/>
  <c r="K66" i="1"/>
  <c r="M66" i="1"/>
  <c r="M65" i="1"/>
  <c r="M64" i="1"/>
  <c r="M63" i="1"/>
  <c r="M61" i="1"/>
  <c r="M60" i="1"/>
  <c r="M59" i="1"/>
  <c r="M58" i="1"/>
  <c r="M57" i="1"/>
  <c r="M56" i="1"/>
  <c r="K54" i="1"/>
  <c r="M54" i="1"/>
  <c r="M52" i="1"/>
  <c r="M51" i="1"/>
  <c r="M48" i="1"/>
  <c r="M47" i="1"/>
  <c r="M46" i="1"/>
  <c r="M45" i="1"/>
  <c r="M44" i="1"/>
  <c r="M42" i="1"/>
  <c r="M41" i="1"/>
  <c r="H54" i="1"/>
  <c r="L54" i="1"/>
  <c r="H65" i="1"/>
  <c r="M143" i="1"/>
  <c r="M142" i="1"/>
  <c r="I143" i="1"/>
  <c r="L143" i="1"/>
  <c r="H143" i="1"/>
  <c r="I142" i="1"/>
  <c r="L142" i="1"/>
  <c r="H142" i="1"/>
  <c r="M158" i="1"/>
  <c r="H64" i="1"/>
  <c r="H69" i="1"/>
  <c r="H67" i="1"/>
  <c r="H66" i="1"/>
  <c r="H78" i="1"/>
  <c r="K78" i="1"/>
  <c r="L78" i="1"/>
  <c r="M78" i="1"/>
  <c r="H80" i="1"/>
  <c r="I80" i="1"/>
  <c r="K80" i="1"/>
  <c r="L80" i="1"/>
  <c r="M80" i="1"/>
  <c r="H81" i="1"/>
  <c r="L81" i="1"/>
  <c r="M81" i="1"/>
  <c r="B171" i="1"/>
  <c r="B172" i="1"/>
  <c r="B173" i="1"/>
  <c r="B174" i="1"/>
  <c r="B175" i="1"/>
  <c r="B176" i="1"/>
  <c r="B177" i="1"/>
  <c r="B178" i="1"/>
  <c r="B179" i="1"/>
  <c r="B180" i="1"/>
  <c r="B181" i="1"/>
  <c r="B90" i="1"/>
  <c r="B91" i="1"/>
  <c r="B92" i="1"/>
  <c r="B93" i="1"/>
  <c r="B94" i="1"/>
  <c r="B95" i="1"/>
  <c r="B96" i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H131" i="1"/>
  <c r="H130" i="1"/>
  <c r="H181" i="1"/>
  <c r="H179" i="1"/>
  <c r="H180" i="1"/>
  <c r="H178" i="1"/>
  <c r="H177" i="1"/>
  <c r="H176" i="1"/>
  <c r="H175" i="1"/>
  <c r="H174" i="1"/>
  <c r="H173" i="1"/>
  <c r="H172" i="1"/>
  <c r="H171" i="1"/>
  <c r="K180" i="1"/>
  <c r="B222" i="1"/>
  <c r="B223" i="1"/>
  <c r="B224" i="1"/>
  <c r="B225" i="1"/>
  <c r="B226" i="1"/>
  <c r="B227" i="1"/>
  <c r="B228" i="1"/>
  <c r="B229" i="1"/>
  <c r="B230" i="1"/>
  <c r="B231" i="1"/>
  <c r="B232" i="1"/>
  <c r="B233" i="1"/>
  <c r="B234" i="1"/>
  <c r="B235" i="1"/>
  <c r="B236" i="1"/>
  <c r="B237" i="1"/>
  <c r="B238" i="1"/>
  <c r="B239" i="1"/>
  <c r="B240" i="1"/>
  <c r="B241" i="1"/>
  <c r="H170" i="1"/>
  <c r="H144" i="1"/>
  <c r="K144" i="1"/>
  <c r="M189" i="1"/>
  <c r="M171" i="1"/>
  <c r="M190" i="1"/>
  <c r="M144" i="1"/>
  <c r="M180" i="1"/>
  <c r="M222" i="1"/>
  <c r="M223" i="1"/>
  <c r="M224" i="1"/>
  <c r="M225" i="1"/>
  <c r="M198" i="1"/>
  <c r="M199" i="1"/>
  <c r="M200" i="1"/>
  <c r="M201" i="1"/>
  <c r="M202" i="1"/>
  <c r="M203" i="1"/>
  <c r="M204" i="1"/>
  <c r="M205" i="1"/>
  <c r="M206" i="1"/>
  <c r="M207" i="1"/>
  <c r="M208" i="1"/>
  <c r="K209" i="1"/>
  <c r="M209" i="1"/>
  <c r="M221" i="1"/>
  <c r="M226" i="1"/>
  <c r="M227" i="1"/>
  <c r="M228" i="1"/>
  <c r="M229" i="1"/>
  <c r="M230" i="1"/>
  <c r="M231" i="1"/>
  <c r="M232" i="1"/>
  <c r="M233" i="1"/>
  <c r="M234" i="1"/>
  <c r="M235" i="1"/>
  <c r="M236" i="1"/>
  <c r="M237" i="1"/>
  <c r="M238" i="1"/>
  <c r="M239" i="1"/>
  <c r="M240" i="1"/>
  <c r="K62" i="1"/>
  <c r="M62" i="1"/>
  <c r="L209" i="1"/>
  <c r="H209" i="1"/>
  <c r="K172" i="1"/>
  <c r="M172" i="1"/>
  <c r="K153" i="1"/>
  <c r="M153" i="1"/>
  <c r="K154" i="1"/>
  <c r="M154" i="1"/>
  <c r="K155" i="1"/>
  <c r="M155" i="1"/>
  <c r="L172" i="1"/>
  <c r="L153" i="1"/>
  <c r="L62" i="1"/>
  <c r="L154" i="1"/>
  <c r="L155" i="1"/>
  <c r="L221" i="1"/>
  <c r="L222" i="1"/>
  <c r="L223" i="1"/>
  <c r="L224" i="1"/>
  <c r="L225" i="1"/>
  <c r="L226" i="1"/>
  <c r="L227" i="1"/>
  <c r="L228" i="1"/>
  <c r="L229" i="1"/>
  <c r="L230" i="1"/>
  <c r="L231" i="1"/>
  <c r="L232" i="1"/>
  <c r="L233" i="1"/>
  <c r="L234" i="1"/>
  <c r="L235" i="1"/>
  <c r="L236" i="1"/>
  <c r="L237" i="1"/>
  <c r="L238" i="1"/>
  <c r="L239" i="1"/>
  <c r="L240" i="1"/>
  <c r="L198" i="1"/>
  <c r="L199" i="1"/>
  <c r="L200" i="1"/>
  <c r="L201" i="1"/>
  <c r="L202" i="1"/>
  <c r="L203" i="1"/>
  <c r="L204" i="1"/>
  <c r="L205" i="1"/>
  <c r="L206" i="1"/>
  <c r="L207" i="1"/>
  <c r="L208" i="1"/>
  <c r="H155" i="1"/>
  <c r="H154" i="1"/>
  <c r="H62" i="1"/>
  <c r="H153" i="1"/>
  <c r="H123" i="1"/>
  <c r="H127" i="1"/>
  <c r="K127" i="1"/>
  <c r="M170" i="1"/>
  <c r="L170" i="1"/>
  <c r="J221" i="1"/>
  <c r="J222" i="1"/>
  <c r="J223" i="1"/>
  <c r="J224" i="1"/>
  <c r="J225" i="1"/>
  <c r="J198" i="1"/>
  <c r="J226" i="1"/>
  <c r="J199" i="1"/>
  <c r="J200" i="1"/>
  <c r="J227" i="1"/>
  <c r="J201" i="1"/>
  <c r="J228" i="1"/>
  <c r="J202" i="1"/>
  <c r="J229" i="1"/>
  <c r="J203" i="1"/>
  <c r="J230" i="1"/>
  <c r="J231" i="1"/>
  <c r="J232" i="1"/>
  <c r="J233" i="1"/>
  <c r="J234" i="1"/>
  <c r="J170" i="1"/>
  <c r="J235" i="1"/>
  <c r="J236" i="1"/>
  <c r="J237" i="1"/>
  <c r="J238" i="1"/>
  <c r="J239" i="1"/>
  <c r="J204" i="1"/>
  <c r="J205" i="1"/>
  <c r="J206" i="1"/>
  <c r="J240" i="1"/>
  <c r="J207" i="1"/>
  <c r="J208" i="1"/>
  <c r="K141" i="1"/>
  <c r="M141" i="1"/>
  <c r="L141" i="1"/>
  <c r="H141" i="1"/>
  <c r="K140" i="1"/>
  <c r="I139" i="1"/>
  <c r="K139" i="1"/>
  <c r="M139" i="1"/>
  <c r="L139" i="1"/>
  <c r="H139" i="1"/>
  <c r="M140" i="1"/>
  <c r="L140" i="1"/>
  <c r="H140" i="1"/>
  <c r="K89" i="1"/>
  <c r="M89" i="1"/>
  <c r="K90" i="1"/>
  <c r="M90" i="1"/>
  <c r="K91" i="1"/>
  <c r="M91" i="1"/>
  <c r="K92" i="1"/>
  <c r="M92" i="1"/>
  <c r="K122" i="1"/>
  <c r="M122" i="1"/>
  <c r="K93" i="1"/>
  <c r="M93" i="1"/>
  <c r="K94" i="1"/>
  <c r="M94" i="1"/>
  <c r="K95" i="1"/>
  <c r="M95" i="1"/>
  <c r="I96" i="1"/>
  <c r="K96" i="1"/>
  <c r="M96" i="1"/>
  <c r="I97" i="1"/>
  <c r="K97" i="1"/>
  <c r="M97" i="1"/>
  <c r="I98" i="1"/>
  <c r="K98" i="1"/>
  <c r="M98" i="1"/>
  <c r="I99" i="1"/>
  <c r="K99" i="1"/>
  <c r="M99" i="1"/>
  <c r="I100" i="1"/>
  <c r="K100" i="1"/>
  <c r="M100" i="1"/>
  <c r="K101" i="1"/>
  <c r="M101" i="1"/>
  <c r="K102" i="1"/>
  <c r="M102" i="1"/>
  <c r="I103" i="1"/>
  <c r="K103" i="1"/>
  <c r="M103" i="1"/>
  <c r="I104" i="1"/>
  <c r="K104" i="1"/>
  <c r="M104" i="1"/>
  <c r="K105" i="1"/>
  <c r="M105" i="1"/>
  <c r="I106" i="1"/>
  <c r="K106" i="1"/>
  <c r="M106" i="1"/>
  <c r="K107" i="1"/>
  <c r="M107" i="1"/>
  <c r="I124" i="1"/>
  <c r="K124" i="1"/>
  <c r="M124" i="1"/>
  <c r="K125" i="1"/>
  <c r="M125" i="1"/>
  <c r="K108" i="1"/>
  <c r="M108" i="1"/>
  <c r="K109" i="1"/>
  <c r="M109" i="1"/>
  <c r="K110" i="1"/>
  <c r="M110" i="1"/>
  <c r="M111" i="1"/>
  <c r="M126" i="1"/>
  <c r="M112" i="1"/>
  <c r="I113" i="1"/>
  <c r="K113" i="1"/>
  <c r="M113" i="1"/>
  <c r="M128" i="1"/>
  <c r="M114" i="1"/>
  <c r="I145" i="1"/>
  <c r="K145" i="1"/>
  <c r="M145" i="1"/>
  <c r="K129" i="1"/>
  <c r="M129" i="1"/>
  <c r="K160" i="1"/>
  <c r="M160" i="1"/>
  <c r="L89" i="1"/>
  <c r="L90" i="1"/>
  <c r="L91" i="1"/>
  <c r="L92" i="1"/>
  <c r="L122" i="1"/>
  <c r="L93" i="1"/>
  <c r="L94" i="1"/>
  <c r="L95" i="1"/>
  <c r="L96" i="1"/>
  <c r="L97" i="1"/>
  <c r="L98" i="1"/>
  <c r="L99" i="1"/>
  <c r="L100" i="1"/>
  <c r="L101" i="1"/>
  <c r="L102" i="1"/>
  <c r="L103" i="1"/>
  <c r="L104" i="1"/>
  <c r="L105" i="1"/>
  <c r="L106" i="1"/>
  <c r="L107" i="1"/>
  <c r="L124" i="1"/>
  <c r="L125" i="1"/>
  <c r="L108" i="1"/>
  <c r="L109" i="1"/>
  <c r="L110" i="1"/>
  <c r="L111" i="1"/>
  <c r="L126" i="1"/>
  <c r="L112" i="1"/>
  <c r="L113" i="1"/>
  <c r="L128" i="1"/>
  <c r="L114" i="1"/>
  <c r="L145" i="1"/>
  <c r="L129" i="1"/>
  <c r="L160" i="1"/>
  <c r="H160" i="1"/>
  <c r="H129" i="1"/>
  <c r="H145" i="1"/>
  <c r="H114" i="1"/>
  <c r="H128" i="1"/>
  <c r="H113" i="1"/>
  <c r="H112" i="1"/>
  <c r="H126" i="1"/>
  <c r="H111" i="1"/>
  <c r="H110" i="1"/>
  <c r="A109" i="1"/>
  <c r="A110" i="1"/>
  <c r="H109" i="1"/>
  <c r="H108" i="1"/>
  <c r="A108" i="1"/>
  <c r="H125" i="1"/>
  <c r="H124" i="1"/>
  <c r="H107" i="1"/>
  <c r="A105" i="1"/>
  <c r="A106" i="1"/>
  <c r="A107" i="1"/>
  <c r="H106" i="1"/>
  <c r="H105" i="1"/>
  <c r="H104" i="1"/>
  <c r="A103" i="1"/>
  <c r="A104" i="1"/>
  <c r="H103" i="1"/>
  <c r="H102" i="1"/>
  <c r="A102" i="1"/>
  <c r="H101" i="1"/>
  <c r="A99" i="1"/>
  <c r="A100" i="1"/>
  <c r="A101" i="1"/>
  <c r="H100" i="1"/>
  <c r="H99" i="1"/>
  <c r="H98" i="1"/>
  <c r="A98" i="1"/>
  <c r="H97" i="1"/>
  <c r="A97" i="1"/>
  <c r="H96" i="1"/>
  <c r="A95" i="1"/>
  <c r="A96" i="1"/>
  <c r="H95" i="1"/>
  <c r="H94" i="1"/>
  <c r="A91" i="1"/>
  <c r="A92" i="1"/>
  <c r="A93" i="1"/>
  <c r="A94" i="1"/>
  <c r="H93" i="1"/>
  <c r="H122" i="1"/>
  <c r="H92" i="1"/>
  <c r="H91" i="1"/>
  <c r="F90" i="1"/>
  <c r="H90" i="1"/>
  <c r="A89" i="1"/>
  <c r="A90" i="1"/>
  <c r="H89" i="1"/>
  <c r="A78" i="1"/>
</calcChain>
</file>

<file path=xl/sharedStrings.xml><?xml version="1.0" encoding="utf-8"?>
<sst xmlns="http://schemas.openxmlformats.org/spreadsheetml/2006/main" count="1350" uniqueCount="447">
  <si>
    <t>PRINCIPALES PROYECTOS REALIZADOS</t>
  </si>
  <si>
    <t>No.</t>
  </si>
  <si>
    <t>Contrato No.</t>
  </si>
  <si>
    <t>Contratante</t>
  </si>
  <si>
    <t>Descripcion obra</t>
  </si>
  <si>
    <t xml:space="preserve">Inicio </t>
  </si>
  <si>
    <t>Finalizo</t>
  </si>
  <si>
    <t>Plazo en Dias</t>
  </si>
  <si>
    <t>Vr.  Total Ejecutado</t>
  </si>
  <si>
    <t>% PAVICOL</t>
  </si>
  <si>
    <t>Valor en US$ Dolares</t>
  </si>
  <si>
    <t xml:space="preserve">Valor en SMMLV </t>
  </si>
  <si>
    <t>2550 y adic.</t>
  </si>
  <si>
    <t>Fondo Aeronáutico Nacional</t>
  </si>
  <si>
    <t>Pavimentación Aeropuerto Los Cedros</t>
  </si>
  <si>
    <t>653 de 1981 subcontrato</t>
  </si>
  <si>
    <t>Ministerio de Obras Públicas y Transporte</t>
  </si>
  <si>
    <t>Rehabilitación y conservación sector Monteria - Planeta Rica - La Ye</t>
  </si>
  <si>
    <t>Ministerio de Obras Públicas</t>
  </si>
  <si>
    <t xml:space="preserve">Conservación Carreteras Armenia – Pereira  y Pereira – Manizales </t>
  </si>
  <si>
    <t>Aeropuerto Matecaña</t>
  </si>
  <si>
    <t>Repavimentación de las pistas, cabeceras y táxeos del Aeropuerto en Pereira</t>
  </si>
  <si>
    <t>050, 088, y 099 87</t>
  </si>
  <si>
    <t>Municipio de Caucacia</t>
  </si>
  <si>
    <t>Construcción pista de aereopuerto Caucasia</t>
  </si>
  <si>
    <t>707 de 1988</t>
  </si>
  <si>
    <t>Pavimentación del Sector Remolino  Ciudad - Bolivar de la carretera Amaga - Ciudad Bolivar</t>
  </si>
  <si>
    <t>653 de 1989</t>
  </si>
  <si>
    <t>Rehabilitación del sector Buga - Loboguerrero de la carretera Buga - Buenaventura K0+000 al K54+400</t>
  </si>
  <si>
    <t>ST-133-90</t>
  </si>
  <si>
    <t>Cerromatoso S.A.</t>
  </si>
  <si>
    <t>Pavimentacion de vias varias en la ciudadela y en la planta de Cerromatoso</t>
  </si>
  <si>
    <t>MM-050-91</t>
  </si>
  <si>
    <t>Pavimentación de la via La Apartada - Montelibano</t>
  </si>
  <si>
    <t>556-91</t>
  </si>
  <si>
    <t>Conservación y mantenimiento de la carretera Santander de Quilichao - Popayan</t>
  </si>
  <si>
    <t>563-92</t>
  </si>
  <si>
    <t xml:space="preserve">Pavimentación en concreto asfaltico de la carretera troncal del Pacifico, sector Toro - Ansermanuevo entre el K14+240 al K19+000 </t>
  </si>
  <si>
    <t xml:space="preserve"> 008- 94</t>
  </si>
  <si>
    <t>Valorización departamental del  Valle del  Cauca</t>
  </si>
  <si>
    <t>Pavimentación de la Via Buga - La Habana (Incluye Puente Postensado de 27 mts de Luz)</t>
  </si>
  <si>
    <t>617-93</t>
  </si>
  <si>
    <t xml:space="preserve">Pavimentación en concreto asfaltico de la carretera troncal del Pacifico, sector Toro - Ansermanuevo entre el K19+000 al K34+711 </t>
  </si>
  <si>
    <t>682-94</t>
  </si>
  <si>
    <t>Pavimentación en concreto asfaltico de la segunda calzada principal, Autopista Oriental (simon Bolivar) Del K0+000 al K0+950 de municipio del Cali</t>
  </si>
  <si>
    <t>DAVM-12-94</t>
  </si>
  <si>
    <t>Rehabilitación por el sistema de reciclaje del pavimento existente en las dos calzadas principales de la Autopista Oriental</t>
  </si>
  <si>
    <t>493-94</t>
  </si>
  <si>
    <t>Instituto Nacional de Vias</t>
  </si>
  <si>
    <t>Rehabilitación del sector Santuario - La Piñuela de la carretera Medellin Puerto Triunfo</t>
  </si>
  <si>
    <t>057 - 94</t>
  </si>
  <si>
    <t xml:space="preserve">Rehabilitación carretera Cali Amaine Cartago sector  Cali - Palmira - Amaine K0+000 a K20+100 </t>
  </si>
  <si>
    <t xml:space="preserve"> 10- 94</t>
  </si>
  <si>
    <t>Ampliación de la Autopista Cali - Yumbo sector II</t>
  </si>
  <si>
    <t>610 - 95</t>
  </si>
  <si>
    <t>Rehabilitación carretera Cali Loboguerrero tramo 1 K8+150 a K28+491</t>
  </si>
  <si>
    <t>0721-95</t>
  </si>
  <si>
    <t>Secretaria de obras públicas del departamento del Valle del cauca</t>
  </si>
  <si>
    <t>Pavimentación en concreto asfaltico de la carretera La Unión - Versalles</t>
  </si>
  <si>
    <t>057-95</t>
  </si>
  <si>
    <t>Departamento Administrativo de Valorización  de Antioquia</t>
  </si>
  <si>
    <t>Ampliación, rectificación y pavimentación de la carretera San Rafael San Carlos (Icluye construcción de Puentes)</t>
  </si>
  <si>
    <t xml:space="preserve"> 01- 96</t>
  </si>
  <si>
    <t>Pavimentación de la carretera Darien - Jiguales - Puente Tierra</t>
  </si>
  <si>
    <t xml:space="preserve"> 04-96</t>
  </si>
  <si>
    <t>Pavimentación de la Via Rozo - El Cerrito y construcción de dos puentes vehiculares</t>
  </si>
  <si>
    <t>SIVV-SSM-01-97</t>
  </si>
  <si>
    <t>Secretaria de infraestructura vial y valorización de Santiago de Cali</t>
  </si>
  <si>
    <t>Cosntrucción de un tramo de la avenida Ciudad de Cali y Diseño y construcción de la estructura Box Culvert y obras complementarias</t>
  </si>
  <si>
    <t>188-97</t>
  </si>
  <si>
    <t>Terminación Carretera Envigado  - Alto de Las Palmas - Envigado</t>
  </si>
  <si>
    <t>286 de 1997</t>
  </si>
  <si>
    <t>Mejoramiento y rehabilitación del sector Hatillo- Puerto Valdivia de la carretera Bello - Rio Nechi - Puerto Valdivia</t>
  </si>
  <si>
    <t>SIVV-VA-25-98</t>
  </si>
  <si>
    <t>Cosntrucción de la troncal de Aguablanca sector V y demas obras complementarias</t>
  </si>
  <si>
    <t>0571-99</t>
  </si>
  <si>
    <t>SOPV-904-2002</t>
  </si>
  <si>
    <t>Secretaria de Obras Públicas Cundinamarca (Consorcio JVC)</t>
  </si>
  <si>
    <t>Mejoramiento de las Vias La Palma -Yacopi y Caparrapí-Dindal-Guaduero</t>
  </si>
  <si>
    <t>IDU-450-2002</t>
  </si>
  <si>
    <t>Estudio, diseño y construcción de accesos a barrios y pavimentos locales en la Zona sur de Bogotá l</t>
  </si>
  <si>
    <t>AC S1-378-OK’2002</t>
  </si>
  <si>
    <t>Aeronáutica Civil                                         (Consorcio Aeropuertos colombia)</t>
  </si>
  <si>
    <t>Obras Civiles necesarias para el reparcheó y pavimentación de la Pista del aeropuerto de la ciudad de Mitu - Vichada</t>
  </si>
  <si>
    <t>Instituto Nacional de Vías INVIAS                                   (UT Vías del Futuro)</t>
  </si>
  <si>
    <t>PAV-03-08</t>
  </si>
  <si>
    <t>COINOR S:A</t>
  </si>
  <si>
    <t>2931 de 2008</t>
  </si>
  <si>
    <t>Instituto Nacional de Vías</t>
  </si>
  <si>
    <t>Rehabilitación de la vía Piendamó – Silvia en el Dpto. del Cauca</t>
  </si>
  <si>
    <t>2011-CT-384</t>
  </si>
  <si>
    <t>Municipio de Chia                                                           (Consorcio Yerbabuena)</t>
  </si>
  <si>
    <t>IDU-1828-2015</t>
  </si>
  <si>
    <t>Instituto de desarrollo Urbano IDU</t>
  </si>
  <si>
    <t>Diseño y Construccion Cicloruta calle 116</t>
  </si>
  <si>
    <t>Alcaldia municipal de Montelibano ( Cordova)</t>
  </si>
  <si>
    <t xml:space="preserve"> Puente Postensado Via Buga - La Habana</t>
  </si>
  <si>
    <t>Construcción de Puentes carretera San Rafael San Carlos</t>
  </si>
  <si>
    <t>Construcción de dos puentes vehiculares Via Rozo - El Cerrito</t>
  </si>
  <si>
    <t>Construccion y mantenimiento de las vias del municipio de Chia</t>
  </si>
  <si>
    <t>INGELAS LTDA. (Aereonautica Civil)</t>
  </si>
  <si>
    <t>Instalación radiofaro y Construcción Obras anexas en el municipio de la Pena</t>
  </si>
  <si>
    <t>INGELAS LTDA. (E.T.B.)</t>
  </si>
  <si>
    <t>Construcción y renovación de camara télefonicas en la zona centro de Bogotá</t>
  </si>
  <si>
    <t>INGELAS LTDA. (Fiduciaria La Previsora)</t>
  </si>
  <si>
    <t>Construccion edificio estacion de Bombeo dona Nidia</t>
  </si>
  <si>
    <t>INGELAS LTDA. (Municipio de Cucuta)</t>
  </si>
  <si>
    <t>Instalaciones electricas e iluminación para los tanques de almacenamiento en la estacion de bombeo dona Nidia</t>
  </si>
  <si>
    <t>Mantenimiento de 1601 semaforos en la zona norte de Bogotá</t>
  </si>
  <si>
    <t>Sin No.</t>
  </si>
  <si>
    <t>Consorcio Ingelas – Hugo Delgado (E.A.A.B.)</t>
  </si>
  <si>
    <t xml:space="preserve">Renovación de 25.000 ml de redes de distribución de acueducto </t>
  </si>
  <si>
    <t>INGELAS LTDA. (E.E.B.)</t>
  </si>
  <si>
    <t>Mantenimiento de redes de distribución aereas y subterraneas en la zona urbana 3 sur Bogotá</t>
  </si>
  <si>
    <t>INGELAS LTDA. (E.A.A.B.)</t>
  </si>
  <si>
    <t>Construcción alcantarillado pluvial barrio Rincon Santo Fontibon</t>
  </si>
  <si>
    <t>T-061-96</t>
  </si>
  <si>
    <t>E.A.A.B.</t>
  </si>
  <si>
    <t>Construcción acueducto Quiba - Ciudad Bolivar</t>
  </si>
  <si>
    <t>E.T.B.</t>
  </si>
  <si>
    <t>Mantenimiento correctivo de bases y postes metalicos tipo t1 y t2 del sistema de semaforización</t>
  </si>
  <si>
    <t>138-97</t>
  </si>
  <si>
    <t xml:space="preserve">INVIAS  </t>
  </si>
  <si>
    <t>Construccion de la carretera Variante de Chiquinquira</t>
  </si>
  <si>
    <t>058 de ago/97</t>
  </si>
  <si>
    <t>Municipio de Caloto</t>
  </si>
  <si>
    <t>Construcción primera etapa acueducto de las veredas NorOrientales de Guachene</t>
  </si>
  <si>
    <t>E.E.B (Codensa S.A.)</t>
  </si>
  <si>
    <t>Electrificacion del Barrio ciudadela Sucre redes y alumbrado para 5744 viviendas y acometidas domiciliarias para 3744 usuarios</t>
  </si>
  <si>
    <t>1-01-8600            -0243-97</t>
  </si>
  <si>
    <t>Mantenimiento y Reconstrucción de Canales Colectores de alcantarillado zona sur de Bogotá</t>
  </si>
  <si>
    <t>321-98</t>
  </si>
  <si>
    <t>CODENSA S.A.</t>
  </si>
  <si>
    <t xml:space="preserve">Redes de Media y Baja tensión y Alumbrado Público en 12 barrios de desarrollo progresivo en las localidades de Engativa, Suba, San Cristobal y Chapinero </t>
  </si>
  <si>
    <t>1-01-8600              -0263-97</t>
  </si>
  <si>
    <t>Mantenimiento y Reconstrucción de Canales Colectores de alcantarillado zona norte de Bogotá</t>
  </si>
  <si>
    <t>429-98</t>
  </si>
  <si>
    <t>Redes de Media y Baja tensión y Alumbrado Público en 29 barrios de desarrollo progresivo en las localidades de Engativa, Suba y Bosa</t>
  </si>
  <si>
    <t>Mantenimiento correctivo de bases y postes metalicos del sistema de semaforización</t>
  </si>
  <si>
    <t>Mantenimiento de obras civiles del sistema de semaforización electronica de santafe de Bogotá</t>
  </si>
  <si>
    <t>Redes de Media y Baja tensión y Alumbrado Público en 10 barrios de desarrollo progresivo en las localidades de Santa Fe, Ciudad Bolivar, San Cristobal, Soacha.</t>
  </si>
  <si>
    <t>128 del 8 de Noviembre de 2001</t>
  </si>
  <si>
    <t>Secretaria de Transito y Transporte de Bogotá D.C.</t>
  </si>
  <si>
    <t>Limpieza y pintura de postes para semaforos tipo T!, T2 y T1X del sistema de semaforización electrónica</t>
  </si>
  <si>
    <t>IDU-276-2002</t>
  </si>
  <si>
    <t>Instituto de Desarrollo Urbano IDU</t>
  </si>
  <si>
    <t>Demolición por el sistema Tradicional y recolección de escombros del edifico de la UTC 10 pisos y sotano</t>
  </si>
  <si>
    <t>024-2002</t>
  </si>
  <si>
    <t>ELECTRIFICADORA DEL META S.A. EMSA</t>
  </si>
  <si>
    <t>Construcción, montaje, pruebas y puesta en servicio de la línea de transmisión eléctrica doble circuito a 115 KV entre subestaciones La Reforma y La Central Térmica de OCOA</t>
  </si>
  <si>
    <t>OT-UTD-MOR-992-0070-03</t>
  </si>
  <si>
    <t>Electrificadora de Santander S.A  ESSA ESP.</t>
  </si>
  <si>
    <t>Mantenimiento Preventivo y correctivo de las lineas de subtransmisión y redes de distribución de media y baja tensión en el municipio de Santa Barbara</t>
  </si>
  <si>
    <t>.162 de 2003</t>
  </si>
  <si>
    <t>Ajuste de diseños y Construcción de obras civiles para la semaforización de intersecciones viales en Bogotá D.C.</t>
  </si>
  <si>
    <t>CO-UTD-MOR-992-0051-04</t>
  </si>
  <si>
    <t>Mantenimiento Preventivo y correctivo de las lineas de subtransmisión y redes de distribución de media y baja tensión en el municipio de Barrancabermeja</t>
  </si>
  <si>
    <t>148 de 2006</t>
  </si>
  <si>
    <t>Alcaldía mayor de Tunja</t>
  </si>
  <si>
    <t>Mantenimiento, Pavimentación vías y construcción puente vehicular  en la ciudad de Tunja.</t>
  </si>
  <si>
    <t xml:space="preserve"> instalaciones eléctricas provisionales Condominio el Pedregal</t>
  </si>
  <si>
    <t>PAV-07-10</t>
  </si>
  <si>
    <t>Mantenimiento y adecuacion PTAP del municipio de Bojaca y Construccion PTAP municipio de Cachipay</t>
  </si>
  <si>
    <t xml:space="preserve"> Alcantarillado de Condominio Campestre el Pedregal.</t>
  </si>
  <si>
    <t>Acueducto Condominio Guanumby</t>
  </si>
  <si>
    <t xml:space="preserve"> Red electrica de Media Tension y subestacion Condominio Guanumby</t>
  </si>
  <si>
    <t>PAV-013-16</t>
  </si>
  <si>
    <t>Revision, diseño y actualizacion de redes de acueducto, alcantarillado, electricas y de semaforizacion Cicloruta calle 116 Bogota</t>
  </si>
  <si>
    <t>Instalaciones electricas subterraneas y de Iluminacion</t>
  </si>
  <si>
    <t>PTAR primera etapa Condomini Guanumby</t>
  </si>
  <si>
    <t>MIRADOR DE MESA DE YEGUAS</t>
  </si>
  <si>
    <t>FONDATT Unión Temporal CREINCO LTDA., - PCI</t>
  </si>
  <si>
    <t>PROYECCION Y FINANZAS</t>
  </si>
  <si>
    <t>IDU (CONSORCIO CICLO116MP)</t>
  </si>
  <si>
    <t>Empresas Publicas de Cundinamarca</t>
  </si>
  <si>
    <t>Oferta Mercantil 007 de 2004</t>
  </si>
  <si>
    <t>Consorcio Constructora Chico 103</t>
  </si>
  <si>
    <t>Diseño, Construccion y ventas del Edificio Rincon del Chico Plaza</t>
  </si>
  <si>
    <t>672 de 2005</t>
  </si>
  <si>
    <t>Corporacion Autonoma Regional de Cundinamarca CAR</t>
  </si>
  <si>
    <t xml:space="preserve">Establecimiento de cercas de proteccion y procesos de revegetalizacion de humedales, </t>
  </si>
  <si>
    <t>5100003315 de 2006</t>
  </si>
  <si>
    <t>Alcaldia de Medellin, secretaria del medio ambiente</t>
  </si>
  <si>
    <t>Construccion obras de adecuacion parque central de la cima en el cerro de Nutibara</t>
  </si>
  <si>
    <t>Grupo Americano de Construcciones S.A.</t>
  </si>
  <si>
    <t>GAC-03-08</t>
  </si>
  <si>
    <t xml:space="preserve">Diseños de urbanismo y Bodegas y centro comercial para parque industrial Ceamos  en Mosquera </t>
  </si>
  <si>
    <t>111 de 2009</t>
  </si>
  <si>
    <t>Instituto Distrital de recreacion y Deporte IDRD</t>
  </si>
  <si>
    <t>Construccion obras 2da Etapa Parque Zonal La Tingua - Tibanica</t>
  </si>
  <si>
    <t>Oferta Mercantil 004 de 2010</t>
  </si>
  <si>
    <t>Colegio Dwight David Eisenhower</t>
  </si>
  <si>
    <t>Cimentacion, Estructuras Varias, Auditorio, Coliseo y zona administrativa del Colegio</t>
  </si>
  <si>
    <t>049-2012</t>
  </si>
  <si>
    <t>Agencia Logistica de las fuerzas Militares</t>
  </si>
  <si>
    <t>Construccion 1ra Etapa alojamiento de tropas para el grupo de caballeria mecanizada guias del Casanare en la ciudad de Yopal</t>
  </si>
  <si>
    <t>HRU-001-2012</t>
  </si>
  <si>
    <t>Humberto Rodriguez (Clinica Méderi)</t>
  </si>
  <si>
    <t>Adecuacion del piso No. 8 del Hospital Universitario mayor</t>
  </si>
  <si>
    <t>001-2013</t>
  </si>
  <si>
    <t>Corporacion IPS Saludcoop</t>
  </si>
  <si>
    <t>Cerramiento en estructura Vertical de Lote Ubicado en la Ciudad de Neiva.</t>
  </si>
  <si>
    <t>150-2013</t>
  </si>
  <si>
    <t>Alcaldia local de Suba</t>
  </si>
  <si>
    <t>Intervencion y mejoramiento integral de parques de la localidad de Suba Bogota</t>
  </si>
  <si>
    <t>189-2013</t>
  </si>
  <si>
    <t>Alcaldia local de Usme</t>
  </si>
  <si>
    <t>Adecuacion, mantenimiento preventivo y correctivo de infraestructura Fisica de parques vecinales y de bolsillo en la localidad de Usme</t>
  </si>
  <si>
    <t>2360 de 2013</t>
  </si>
  <si>
    <t>Instituto Distrital de recreacion y deporte de Bogota IDRD.</t>
  </si>
  <si>
    <t>Mantenimiento de la estructura fisica de los grandes Escenarios de la Ciudad de Bogota D.C.</t>
  </si>
  <si>
    <t>Ctr. 232 DE 2015</t>
  </si>
  <si>
    <t>Mantenimiento y construccion de parques en la localidad de Suba Bogota D-C</t>
  </si>
  <si>
    <t>Ordenes de Trabajo Varias</t>
  </si>
  <si>
    <t>LEONA S.A.</t>
  </si>
  <si>
    <t>Mantenimiento rutinario y obras varias en la Planta de Producción en Tocanzipa</t>
  </si>
  <si>
    <t>34-5-02</t>
  </si>
  <si>
    <t>Lagos de Malibu Ltda.</t>
  </si>
  <si>
    <t>Adecuación y construcción Etapas I y III Proyecto Lagos de Malibu en Soacha.</t>
  </si>
  <si>
    <t>PAV-05-05</t>
  </si>
  <si>
    <t>Gas Natural Andino (Pavicol Ltda.)</t>
  </si>
  <si>
    <t>Instalación tanques de almacenamiento de combustible estación de servicio gas y combustible de 4 islas en la Cr. 20 x Calle 68 en Bogota.</t>
  </si>
  <si>
    <t>Alcaldía mayor de Tunja (Infracol Ltda.)</t>
  </si>
  <si>
    <t>GRA-003-de 2007</t>
  </si>
  <si>
    <t>Grupo Americano de Construcción S.A.</t>
  </si>
  <si>
    <t xml:space="preserve">Adecuación de terreno, manejo de aguas , Construcción de jarillones y Urbanismo vial para el parque industrial CEAMOS en Mosquera . </t>
  </si>
  <si>
    <t>PYF -003-09</t>
  </si>
  <si>
    <t>Proyección  y Finanzas Ltda.</t>
  </si>
  <si>
    <t>Construcción de Porteria, casa de administración y Edificio para tres apartamentos en el Condominio el Pedregal</t>
  </si>
  <si>
    <t>CCC-012-09</t>
  </si>
  <si>
    <t>Consorcio CCC</t>
  </si>
  <si>
    <t xml:space="preserve">Ampliación y Remodelación Oficinas Grupo CCC incluye instalación de central telefónica Panasonic, redes de computación y comunicación </t>
  </si>
  <si>
    <t>MMY-17-2010</t>
  </si>
  <si>
    <t>MIRADOR DE MESA DE YEGUAS SAS</t>
  </si>
  <si>
    <t>Diseño y Construcción, Casa de recreo No. 18 para vivienda familiar de 200 m2 en un terreno de 1144 m2incluye piscina</t>
  </si>
  <si>
    <t xml:space="preserve">MMY-007-2011 </t>
  </si>
  <si>
    <t>Construcción Urbanismo Etapa 1 Condominio GUANUMBY en la via la Meza - Anapoima.</t>
  </si>
  <si>
    <t>Gre-17-2012</t>
  </si>
  <si>
    <t>BAU SAS</t>
  </si>
  <si>
    <t>Diseño y Construcción, Casa Quinta para vivienda familiar de 420 m2 en un terreno de 2144 m2</t>
  </si>
  <si>
    <t>MMY-014-2014</t>
  </si>
  <si>
    <t>BZC-012-15</t>
  </si>
  <si>
    <t>BZC GROUP</t>
  </si>
  <si>
    <t xml:space="preserve">Ampliación y Remodelación de 200 m2 Oficinas BZC Group  incluye instalaciónes electricas, telefonicas, redes de computación y comunicación </t>
  </si>
  <si>
    <t xml:space="preserve">MMY-007-2018 </t>
  </si>
  <si>
    <t>Construcción Urbanismo  Etapa 2 Condominio GUANUMBY en la via la Meza - Anapoima.</t>
  </si>
  <si>
    <t>Secretaria de Planeación y Valorización de Envigado</t>
  </si>
  <si>
    <t>Instituto de desarrollo Urbano IDU (UT Vias Colombia)</t>
  </si>
  <si>
    <t>Construccion de puente LA PAZ sobre el Rio Sogamoso</t>
  </si>
  <si>
    <t>Construcción, Edificaciones y Casas de recreo Etapa 1 Condominio Guanumby Area total construida 1450 m2  incluye piscinas y jacussys</t>
  </si>
  <si>
    <t>Valor  Ejecutado          en $ (Col)</t>
  </si>
  <si>
    <t>CONSULTORIA Y DISEÑO DE PROYECTOS                                                  DE INGENIERIA, ARQUITECTURA Y URBANISMO</t>
  </si>
  <si>
    <t>INTERVENTORIA LEGAL, TECNICA Y ADMINISTRATIVA                             Y SUPERVICION DE PROYECTOS</t>
  </si>
  <si>
    <t>Secretaria de Obras Públicas del Valle del Cauca</t>
  </si>
  <si>
    <t>Depto. Administrativo Valorización Municipal de Cali</t>
  </si>
  <si>
    <t>Mantenimiento, pavimentacion  y rehabilitacion Carretera Choconta-Tunja-Duitama</t>
  </si>
  <si>
    <r>
      <t xml:space="preserve">POR LA EMPRESA </t>
    </r>
    <r>
      <rPr>
        <b/>
        <i/>
        <sz val="16"/>
        <rFont val="Times New Roman"/>
      </rPr>
      <t>BELZCON</t>
    </r>
    <r>
      <rPr>
        <b/>
        <sz val="16"/>
        <color rgb="FFFF0000"/>
        <rFont val="Times New Roman"/>
      </rPr>
      <t xml:space="preserve"> y SUS ASOCIADOS</t>
    </r>
  </si>
  <si>
    <t>Estudio topográfico Central Lopez de Micay</t>
  </si>
  <si>
    <t>Montajes Eléctricos</t>
  </si>
  <si>
    <t>Interventoría para la construcción de la carretera de acceso al condominio Ruitoque Golf Country Club.</t>
  </si>
  <si>
    <t>Urbanas S.A.</t>
  </si>
  <si>
    <t>CREINCO LTDA</t>
  </si>
  <si>
    <t>Estudios y diseños para la construcción del edificio Creinco</t>
  </si>
  <si>
    <t>Gama Ltda..</t>
  </si>
  <si>
    <t>Construcciones Epoca Ltda..</t>
  </si>
  <si>
    <t>Control topográfico y de materiales para la construcción de la variante de  Chiquinquirá</t>
  </si>
  <si>
    <t>Consorcio Creinco-Ineconte</t>
  </si>
  <si>
    <t>1–dic-97</t>
  </si>
  <si>
    <t>Codensa S A ESP</t>
  </si>
  <si>
    <t>Control de procesos y calidad de materiales carretera Chocontá-Tunja-Duitama</t>
  </si>
  <si>
    <t>Estudio de suelos y diseño de pavimentos carretera La Española-Calarcá</t>
  </si>
  <si>
    <t>CONSECUCION DE TERRENOS E INVERSIONES</t>
  </si>
  <si>
    <t>Estudios y diseños del desarrollo vial – Plan 2500 en los tramos La Sierrita – Junín (13.00 Km), Rovira – Corazón (18.40 Km), Líbano – Platanillal – Villahermosa (15.00 Km) y Palocabildo –San Jerónimo (7.00 Km) todos en el departamento del Tolima.</t>
  </si>
  <si>
    <t>Union Temporal Vias del Futuro</t>
  </si>
  <si>
    <t>Estudios y diseños Edifico Agora 100, incluyen estudio de suelos, levantamiento topografico, diseño de cimentacion,  diseño arquitectonico, diseño estructural, diseño hidrosanitario y gas, diseño de instalaciones electricas, presupuesto, e informe final</t>
  </si>
  <si>
    <t>Estudios y Diseños Urbanismo incluye Diseño de vias, acueducto y alcantarillado, redes electricas y de alumbrado publico Condominio GUANUMBY en la via la Meza - Anapoima.</t>
  </si>
  <si>
    <t>Estudios y Diseños Linea electrica de Media Tension, desde la via principal La Mesa - Mesitas hasta entrada al condominio (1 km), Diseño subestacion de 150 KVA dentro del condominio GUANUMBY en la via la Meza - Anapoima.</t>
  </si>
  <si>
    <t>Estudios y diseños Casas Tipo A, Tipo B y Tipo C  incluyen estudio de suelos, levantamiento topografico, diseño de cimentacion,  diseño arquitectonico, diseño de piscinas y zonas sociales, diseño estructural, diseño hidrosanitario y gas, diseño de instalaciones electricas, presupuesto, e informe final</t>
  </si>
  <si>
    <t>MMY-007-2018</t>
  </si>
  <si>
    <t>MMY-004-2013</t>
  </si>
  <si>
    <t>HENRY ESCOBAR            ROCIO PEÑA</t>
  </si>
  <si>
    <t>PAVICOL</t>
  </si>
  <si>
    <t>Revision diseños de la vía Piendamó – Silvia en el Dpto. del Cauca</t>
  </si>
  <si>
    <t>pav-005-2009</t>
  </si>
  <si>
    <t>MMY-005-2011</t>
  </si>
  <si>
    <t>pav-003-1999</t>
  </si>
  <si>
    <t>pav-114-1999</t>
  </si>
  <si>
    <t>pav-057-2001</t>
  </si>
  <si>
    <t>UTV-002-05</t>
  </si>
  <si>
    <t xml:space="preserve">Prefactibilidad para la concesion de esudios y diseños definitivos, gestion social, gestion predial, gestion ambiental, financiacion, construccion, rehabilitacion,  mejoramiento, operacion y mantenimiento del proyecto de concesion vial  "CÓRDOBA - SUCRE” </t>
  </si>
  <si>
    <t>Estudio de prefactibilidad para la conseción del acueducto sobre el rio GUACHACA en la ciudad de Santa Marta</t>
  </si>
  <si>
    <t>Estudios de prefactibilidad para la construcción del edificio Creinco en el barrio pasadena en Bogota</t>
  </si>
  <si>
    <t>INGELAS LTDA</t>
  </si>
  <si>
    <t>NEFIN S.A.S. - DESARROLLOS IDEALES SAS</t>
  </si>
  <si>
    <t>DES-003-de 2015</t>
  </si>
  <si>
    <t>COMUNIDAD DE GUAYMARAL</t>
  </si>
  <si>
    <t>Prefactivilidad proyecto ACUEDUCTO DE GUAYMARAL - BOGOTA D.C.</t>
  </si>
  <si>
    <t>Constructora Francisco de Miranda</t>
  </si>
  <si>
    <t>Estudios y diseños, CONDOMINIO VILLAS DE MIRANDA incluyen estudio de suelos, levantamiento topografico, diseño de cimentacion,  diseño urbanistico, diseño arquitectonico, diseño estructural, diseño hidrosanitario y gas, diseño de instalaciones electricas, presupuesto, e informe final para 120 cas, colegio, supermercado, zonas sociales, espacios deportivos etc.</t>
  </si>
  <si>
    <t>Estudios y diseños, CONDOMINIO TORRES DEL OASIS Edifico, incluyen estudio de suelos, levantamiento topografico, diseño de cimentacion,  diseño arquitectonico, diseño estructural, diseño hidrosanitario y gas, diseño de instalaciones electricas, presupuesto, e informe final para tres torres de apartamentos</t>
  </si>
  <si>
    <t>CFM-003-de 2018</t>
  </si>
  <si>
    <t>UTV-003-05</t>
  </si>
  <si>
    <t>Estudios y diseños del desarrollo vial – Plan 2500 en los tramos Perico - Victoria  (11.00 Km), Victoria - Marquetalia  (10 Km),  en el departamento de Caldas</t>
  </si>
  <si>
    <t>Diseño de proyectos electricos de distribucion para Bogota D.C.</t>
  </si>
  <si>
    <t>Contrato 00427</t>
  </si>
  <si>
    <t>Digitalización planos parade redes</t>
  </si>
  <si>
    <t>Cre-007-95</t>
  </si>
  <si>
    <t>MECLM-007-95</t>
  </si>
  <si>
    <t>Cre-012-97</t>
  </si>
  <si>
    <t>Creinco Ltda.</t>
  </si>
  <si>
    <t>Creinco ltda.</t>
  </si>
  <si>
    <t>Pet. De Oferta No. 070200-000769</t>
  </si>
  <si>
    <t>Estudios y diseños de accesos a barrios y pavimentos locales en la Zona sur de Bogotá l</t>
  </si>
  <si>
    <t>Estudios y diseños  Puente LA PAZ sobre el Rio Sogamoso</t>
  </si>
  <si>
    <t>03558 de 2005</t>
  </si>
  <si>
    <t>03556 de 2005</t>
  </si>
  <si>
    <t>Construccion de puente Vehicular San Zenon departamento de Magdalena</t>
  </si>
  <si>
    <t>Construccion de puente Vehicular Cordoba Tetón departamento de Bolivar</t>
  </si>
  <si>
    <t>Construcción obras drenaje y pavimentación vías Victoria Perico y Victoria Marquetalia en el Dpto. de Caldas Plan 2500</t>
  </si>
  <si>
    <t>Gobernacion de Caldas                                 (UT Vías del Futuro)</t>
  </si>
  <si>
    <t>S.I. 0156-2005 y S.I. 0159-2005</t>
  </si>
  <si>
    <t>2738 UTVF-05 y 2739 UTVF-05</t>
  </si>
  <si>
    <t>Construcción obras drenaje y pavimentación vías Robira-Corazón y Sierrita-Junin, Palocabildo-SanJeronimo y Libano-Villahermosa en el Dpto. de Tolima Plan 2500</t>
  </si>
  <si>
    <t>170986-83</t>
  </si>
  <si>
    <t>Estudios y Diseños puente Vehicular San Zenon departamento de Magdalena</t>
  </si>
  <si>
    <t>Estudios y diseños puente Vehicular Cordoba Tetón departamento de Bolivar</t>
  </si>
  <si>
    <t xml:space="preserve">Estudios y Diseños Casa de recreo No. 18 para vivienda familiar de 200 m2 en un terreno de 1144 m2 incluye piscina, jacuzzi, jardines </t>
  </si>
  <si>
    <t>Construcción puente vehicular  en la ciudad de Tunja.</t>
  </si>
  <si>
    <t>Proyeccion y Finanzas</t>
  </si>
  <si>
    <t>PYF-002-de 2009</t>
  </si>
  <si>
    <t>MMY-007-de 2015</t>
  </si>
  <si>
    <t>MMY-003-de 2019</t>
  </si>
  <si>
    <t>364 de 2002</t>
  </si>
  <si>
    <t>Interventoria legal, tecnica y administrativa a la Actualización, verificación, revisión, ajustes y complementación a los estudios y diseños de los siguientes proyectos: Par vial cra.18 entre cll.16 y cll.19 y cra.19 entre cll.13 y cll.19; Av. Ciudad de Cali entre cll.153 y Av. San José; calzadas predio El Triunfo al sur del pontón sobre canal San Francisco (Av. Esmeralda) y diagonal 22 A entre cra.46 y cra.50 en Bogotá D.C.</t>
  </si>
  <si>
    <t>IC MC-SAT-CON-006-2009</t>
  </si>
  <si>
    <t>Instituto Nacional de Vias INVIAS</t>
  </si>
  <si>
    <t>IC MC-SAT-INV-057-2009</t>
  </si>
  <si>
    <t xml:space="preserve">Interventoría para la construcción de un puente canal y varios puentes vehiculares sobre el canal Jardin Guaduas. </t>
  </si>
  <si>
    <t xml:space="preserve">Interventoría para la recuperación y de la carretera a Mochuelo de Av. al Llano a Cll.86 Sur  </t>
  </si>
  <si>
    <t>Interventoría para la construcción del edificio El Lucero.</t>
  </si>
  <si>
    <t>Diseño e interventoría de la construcción de las vías de acceso e internas de la urbanización Guadalajara Primera Etapa.</t>
  </si>
  <si>
    <t>Interventoría, técnica, administrativa y financiera para el diseño y construcc. Puente sobre Rio Arquití.</t>
  </si>
  <si>
    <t>Cre-009-97</t>
  </si>
  <si>
    <t xml:space="preserve">Diseño Estacion de Bombeo y Tanque dealmacenamiento de agua potable  Acueducto Quiba </t>
  </si>
  <si>
    <t>AREMA</t>
  </si>
  <si>
    <t>Diseños, planos cálculos de materiales, análisis de precios unitarios y presupuesto para la planta de tratamiento de agua blanca y potabilización en el municipio de la tebaida Quindio</t>
  </si>
  <si>
    <t>Arema-124-2000</t>
  </si>
  <si>
    <t>GREMCON S.A.</t>
  </si>
  <si>
    <t>Conteos manuales de transito en la Jurisdiccion de la territorial Boyaca Zonas Norte y Sur</t>
  </si>
  <si>
    <t>Gre-007-2010</t>
  </si>
  <si>
    <t>2345 de 1997</t>
  </si>
  <si>
    <t>Urbanas- 222-95</t>
  </si>
  <si>
    <t>GAMA-0123-96</t>
  </si>
  <si>
    <t>GAMA-0024-96</t>
  </si>
  <si>
    <t>pav-056-99</t>
  </si>
  <si>
    <t>Telemediciones</t>
  </si>
  <si>
    <t>Ingenieria de detalle e instalacioin PDH en edificio Alcatel</t>
  </si>
  <si>
    <t>2345-2005</t>
  </si>
  <si>
    <t>ESTUDIOS DE FACTIBILIDAD Y ESTRUCTURACION FINANCIERA</t>
  </si>
  <si>
    <t>DE INGENIERIA, ARQUITECTURA Y URBANISMO</t>
  </si>
  <si>
    <t>Y SUPERVICION DE PROYECTOS</t>
  </si>
  <si>
    <t xml:space="preserve"> CONSTRUCCION Y MANTENIMIENTO</t>
  </si>
  <si>
    <t>PLANTAS INDUSTRIALES Y ESTACIONES DE SERVICIO</t>
  </si>
  <si>
    <t>35-5-02</t>
  </si>
  <si>
    <t>Interventoria  Construcción Etapas II y VI Proyecto Lagos de Malibu en Soacha.</t>
  </si>
  <si>
    <t>INTERVENTORIA Mantenimiento y adecuacion PTAP del municipio de Bojaca y Construccion PTAP municipio de Cachipay</t>
  </si>
  <si>
    <t>MMY-007-de 2019</t>
  </si>
  <si>
    <t>PYF-021-de 2011</t>
  </si>
  <si>
    <t>MMY-012-de 2013</t>
  </si>
  <si>
    <t>PYF-022-de 2011</t>
  </si>
  <si>
    <t>MMY-013-de 2013</t>
  </si>
  <si>
    <t>MMY-008-de 2019</t>
  </si>
  <si>
    <t>Interventoria Construccion Alcantarillado de Condominio Campestre el Pedregal.</t>
  </si>
  <si>
    <t>Interventoria Construccion Acueducto Condominio Guanumby</t>
  </si>
  <si>
    <t>Interventoria Construccion PTAR primera etapa Condominio Guanumby</t>
  </si>
  <si>
    <t>Interventoria Legal, Tecnica y Administrativa de la construccion de   Vías  y Pavimentos,   del proyecto Guanumby Condominio Spa y Resort Campestre</t>
  </si>
  <si>
    <t>Interventoria Legal, Tecnica y Administrativa para la construccion de linea electrica de MT, Subestacion, Redes Eléctricas e Iluminación  del proyecto Guanumby Condominio Spa y Resort Campestre</t>
  </si>
  <si>
    <t>Gre-008-2010</t>
  </si>
  <si>
    <t xml:space="preserve"> PTAP Y PTAR, CONSTRUCCION, RENOVACION Y MANTENIMIENTO</t>
  </si>
  <si>
    <t>ACUEDUCTOS, ALCANTARILLADOS, OBRAS HIDRAULICAS,</t>
  </si>
  <si>
    <t xml:space="preserve">OBRAS ELECTROMECANICAS, CONSTRUCCION Y MANTENIMIENTO </t>
  </si>
  <si>
    <t>REDES Y CANALIZACIONES ELECTRICAS, DE COMUNICACIONES,</t>
  </si>
  <si>
    <t>CONSTRUCCION, REMODELACION Y MANTENIMIENTO</t>
  </si>
  <si>
    <t>ESTRUCTURAS, EDIFICACIONES Y VIVIENDAS,</t>
  </si>
  <si>
    <t>PARQUES, ESCENARIOS DEPORTIVOS Y ESPACIO PUBLICO,</t>
  </si>
  <si>
    <t>CONSTRUCCION Y MANTENIMIENTO</t>
  </si>
  <si>
    <t>PUENTES Y PONTONES,</t>
  </si>
  <si>
    <t>CONSTRUCCION, REHABILITACION Y MANTENIMIENTO</t>
  </si>
  <si>
    <t xml:space="preserve"> VIAS URBANAS, LOCACIONES Y URBANISMO</t>
  </si>
  <si>
    <t>CONSTRUCCION, REHABILITACION  Y MANTENIMIENTO</t>
  </si>
  <si>
    <t>CARRETERAS,</t>
  </si>
  <si>
    <t>CONSTRUCCION, PAVIMENTACION Y REABILITACION</t>
  </si>
  <si>
    <t>AEROPUERTOS,</t>
  </si>
  <si>
    <t>CONSTRUCCION, PAVIMENTACION Y REHABILITACION</t>
  </si>
  <si>
    <t>Prefactibilidad, Factibilidad, Consecucion de terreno, Estructuracion financiera del Edificio Calle 64  en la localidad de Chapinero en Bogotá - colombia</t>
  </si>
  <si>
    <t>Prefactibilidad, Factibilidad, Consecucion de terreno, Estructuracion financiera del Edificio Calle 120 en Santa Barbara en Bogotá - colombia</t>
  </si>
  <si>
    <t>Constructora Francisco de Miranda C.V.</t>
  </si>
  <si>
    <t>Evaluacion de proyecto, Prefactibilidad, Factibilidad, Consecucion de terreno, Estructuracion financiera del Edificio Agora 100 en la calle 100 x carrera 15 en Bogotá - colombia</t>
  </si>
  <si>
    <t>Evaluacion de proyecto, Prefactibilidad, Factibilidad, Estructuracion financiera del Centro Comercial y de oficinas Sendas en la ciudad de Maracaibo Venezuela</t>
  </si>
  <si>
    <t>Evaluacion de proyecto, Prefactibilidad, Factibilidad, Estructuracion financiera para una Urbanizacion en la ciudad de Fusagazuga - Cundinamarca Colombia</t>
  </si>
  <si>
    <t xml:space="preserve">Evaluacion de proyecto, Prefactibilidad, Factibilidad, Estructuracion financiera, Banca de inversion del Parque tematico y turistico Cristo Rey en la ciudad de Cali Colombia </t>
  </si>
  <si>
    <t>Evaluacion de proyecto, Prefactibilidad, Factibilidad, Estructuracion financiera, consecusion de recursos y financiacion  de Proyecto cantera de materiales granulares en la ciudad de Honda - Tolima - Colombia</t>
  </si>
  <si>
    <t>Evaluacion de proyecto, Prefactibilidad, Factibilidad, Consecucion de terreno, Estructuracion financiera Construccion nueva sede Colegio las Mercedes Bogotá - colombia</t>
  </si>
  <si>
    <t xml:space="preserve">INFRACOL </t>
  </si>
  <si>
    <t>Prefactibilidad, Factibilidad, Consecucion de terreno, Estructuracion financiera de las Torres de de los Cerros de Niza en Bogotá - Colombia</t>
  </si>
  <si>
    <t>Evaluacion de proyecto, Prefactibilidad, Factibilidad, Estructuracion financiera del Complejo de Vvivienda Balcones de Roldanillo en el departamento del Valle del Cauca Colombia</t>
  </si>
  <si>
    <t>INTERVECO LTDA.</t>
  </si>
  <si>
    <t>Evaluacion de proyecto, Prefactibilidad, Factibilidad, Estructuracion financiera del Edifico Saludcoop Neiva  en el departamento del Huila Colombia</t>
  </si>
  <si>
    <t>Evaluacion de proyecto, Prefactibilidad, Factibilidad, Estructuracion financiera de la ampliacion de la Parroquia Maria Auxiliadora de los Cristianos en el sur de Bogotá  Colombia</t>
  </si>
  <si>
    <t>GRUPO COORDINAR</t>
  </si>
  <si>
    <t>Diseño del puente vehicular en concreto reforzado incluida cimantación dentro de las obras complementarias de la Troncal de Aguablanca</t>
  </si>
  <si>
    <t>INFRACOL</t>
  </si>
  <si>
    <t>Estudio de factibilidad y estructuracion financiera para ejeucion contratos PLAN 2500 INVIAS en los tramos La Sierrita – Junín (13.00 Km), Rovira – Corazón (18.40 Km), Líbano – Platanillal – Villahermosa (15.00 Km) y Palocabildo –San Jerónimo (7.00 Km) todos en el departamento del Tolima. Y Perico - Victoria  (11.00 Km), Victoria - Marquetalia  (10 Km),  en el departamento de Caldas</t>
  </si>
  <si>
    <t xml:space="preserve">Estudios de factibilidad y estructuracion financiera para ejecucion contrato IDU de diseño y construccion accesos a barrios y pavimentos locales en la Zona sur de Bogotá </t>
  </si>
  <si>
    <t>Evaluacion de proyecto, Prefactibilidad, Factibilidad, Estructuracion financiera, consecusion de recursos y financiacion  de Proyecto VIAS 4G en el departamento de Antioquia - Colombia</t>
  </si>
  <si>
    <t>Evaluacion de proyecto, Prefactibilidad, Factibilidad, Estructuracion financiera, consecusion de recursos y financiacion  de Proyecto cantera de materiales granulares AGREGADOS EL RODEO en la ciudad de Tocancipa - Cundinamarca - Colombia</t>
  </si>
  <si>
    <t>Sumymat. SAS</t>
  </si>
  <si>
    <t>Evaluacion de proyecto, Prefactibilidad, Factibilidad, Estructuracion financiera, Concesión via 4G Neiva  - Mocoa   Colombia</t>
  </si>
  <si>
    <t>Ingelas-112-95</t>
  </si>
  <si>
    <t>CRE-174-1996</t>
  </si>
  <si>
    <t>Acuerdo 022 de 1999</t>
  </si>
  <si>
    <t>INF-024-03</t>
  </si>
  <si>
    <t>INF-077-05</t>
  </si>
  <si>
    <t>PAV-112-06</t>
  </si>
  <si>
    <t>Ctr- 1234-06</t>
  </si>
  <si>
    <t>GRE-087-08</t>
  </si>
  <si>
    <t>Ctr- 976-09</t>
  </si>
  <si>
    <t>CFDM-005-2009</t>
  </si>
  <si>
    <t>Sumy-234-2018</t>
  </si>
  <si>
    <t>GCS-034-2016</t>
  </si>
  <si>
    <t>Interveco-024-2016</t>
  </si>
  <si>
    <t>GRE-128-10</t>
  </si>
  <si>
    <t>GRE-099-11</t>
  </si>
  <si>
    <t>INF-056-12</t>
  </si>
  <si>
    <t>PAV-066-13</t>
  </si>
  <si>
    <t>GRE-068-14</t>
  </si>
  <si>
    <t>GRE-107-15</t>
  </si>
  <si>
    <t>PAV-051-17</t>
  </si>
  <si>
    <t>GRE-045-17</t>
  </si>
  <si>
    <t>PAV-155-18</t>
  </si>
  <si>
    <t>Diseño y Construcción, Casa de recreo No. 18 para vivienda familiar de 200 m2 en un terreno de 1144 m2 incluye piscina</t>
  </si>
  <si>
    <t>Construccion, e Instalación tanques de almacenamiento de combustible estación de servicio gas y combustible de 4 islas en la Cr. 20 x Calle 68 en Bogota.</t>
  </si>
  <si>
    <t>Estudios y diseños de accesos a barrios y pavimentos locales en la Zona sur de Bogotá</t>
  </si>
  <si>
    <t>Estudios y diseños, CONDOMINIO TORRES DEL OASIS Edifico, incluyen estudio de suelos, levantamiento topografico, diseño de cimentacion,  diseño arquitectonico, diseño estructural, diseño hidrosanitario y gas, diseño de instalaciones electricas, presupuesto, e informe final para tres torres de apartamentos en Florencia - Caqueta</t>
  </si>
  <si>
    <t>Diseño del puente vehicular en concreto reforzado incluida cimentación dentro de las obras complementarias de la Troncal de Aguablanca en Cali - Valle</t>
  </si>
  <si>
    <t>Interventoría para la construcción del edificio El Lucero Bogotá</t>
  </si>
  <si>
    <t xml:space="preserve">Interventoría, técnica, administrativa y financiera para el diseño y construcc. Puente sobre Rio Arquití Municipio de Acandi - Choco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</si>
</sst>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1" formatCode="_-* #,##0_-;\-* #,##0_-;_-* &quot;-&quot;_-;_-@_-"/>
    <numFmt numFmtId="43" formatCode="_-* #,##0.00_-;\-* #,##0.00_-;_-* &quot;-&quot;??_-;_-@_-"/>
    <numFmt numFmtId="164" formatCode="_(* #,##0.00_);_(* \(#,##0.00\);_(* &quot;-&quot;??_);_(@_)"/>
    <numFmt numFmtId="165" formatCode="_ * #,##0_ ;_ * \-#,##0_ ;_ * &quot;-&quot;??_ ;_ @_ "/>
    <numFmt numFmtId="166" formatCode="_ * #,##0.00_ ;_ * \-#,##0.00_ ;_ * &quot;-&quot;??_ ;_ @_ "/>
    <numFmt numFmtId="167" formatCode="dd\-mm\-yy;@"/>
    <numFmt numFmtId="168" formatCode="_-* #,##0.00_-;\-* #,##0.00_-;_-* &quot;-&quot;_-;_-@_-"/>
    <numFmt numFmtId="169" formatCode="_-* #,##0_-;\-* #,##0_-;_-* &quot;-&quot;??_-;_-@_-"/>
  </numFmts>
  <fonts count="2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indexed="12"/>
      <name val="Arial"/>
    </font>
    <font>
      <b/>
      <sz val="16"/>
      <color indexed="12"/>
      <name val="Times New Roman"/>
      <family val="1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9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name val="Arial"/>
      <family val="2"/>
    </font>
    <font>
      <sz val="10"/>
      <color rgb="FF000000"/>
      <name val="Arial"/>
    </font>
    <font>
      <sz val="10"/>
      <color theme="1"/>
      <name val="Arial"/>
    </font>
    <font>
      <b/>
      <sz val="20"/>
      <name val="Arial"/>
    </font>
    <font>
      <b/>
      <sz val="12"/>
      <color rgb="FFFF0000"/>
      <name val="Arial"/>
    </font>
    <font>
      <b/>
      <sz val="16"/>
      <color rgb="FFFF0000"/>
      <name val="Times New Roman"/>
    </font>
    <font>
      <sz val="8"/>
      <name val="Calibri"/>
      <family val="2"/>
      <scheme val="minor"/>
    </font>
    <font>
      <b/>
      <i/>
      <sz val="16"/>
      <name val="Times New Roman"/>
    </font>
    <font>
      <sz val="10"/>
      <color theme="1"/>
      <name val="Times New Roman"/>
    </font>
    <font>
      <sz val="12"/>
      <name val="Arial"/>
    </font>
    <font>
      <sz val="11"/>
      <color rgb="FF000000"/>
      <name val="Calibri"/>
      <family val="2"/>
      <scheme val="minor"/>
    </font>
    <font>
      <sz val="10"/>
      <color rgb="FF0000D4"/>
      <name val="Arial"/>
    </font>
    <font>
      <sz val="12"/>
      <color rgb="FFFF0000"/>
      <name val="Arial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</borders>
  <cellStyleXfs count="846">
    <xf numFmtId="0" fontId="0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363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Fill="1" applyAlignment="1">
      <alignment wrapText="1"/>
    </xf>
    <xf numFmtId="0" fontId="0" fillId="0" borderId="0" xfId="0" applyAlignment="1">
      <alignment wrapText="1"/>
    </xf>
    <xf numFmtId="43" fontId="4" fillId="0" borderId="0" xfId="1" applyFont="1" applyAlignment="1">
      <alignment wrapText="1"/>
    </xf>
    <xf numFmtId="15" fontId="0" fillId="0" borderId="0" xfId="0" applyNumberFormat="1" applyAlignment="1">
      <alignment wrapText="1"/>
    </xf>
    <xf numFmtId="165" fontId="4" fillId="0" borderId="0" xfId="1" applyNumberFormat="1" applyFont="1" applyAlignment="1">
      <alignment wrapText="1"/>
    </xf>
    <xf numFmtId="43" fontId="4" fillId="0" borderId="0" xfId="1" applyFont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43" fontId="5" fillId="0" borderId="0" xfId="1" applyFont="1" applyBorder="1" applyAlignment="1">
      <alignment horizontal="center" wrapText="1"/>
    </xf>
    <xf numFmtId="0" fontId="6" fillId="0" borderId="0" xfId="0" applyFont="1" applyAlignment="1">
      <alignment wrapText="1"/>
    </xf>
    <xf numFmtId="0" fontId="7" fillId="0" borderId="3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0" borderId="0" xfId="0" applyFont="1" applyAlignment="1">
      <alignment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165" fontId="12" fillId="0" borderId="1" xfId="1" applyNumberFormat="1" applyFont="1" applyFill="1" applyBorder="1" applyAlignment="1">
      <alignment vertical="center" wrapText="1"/>
    </xf>
    <xf numFmtId="43" fontId="12" fillId="0" borderId="1" xfId="1" applyFont="1" applyFill="1" applyBorder="1" applyAlignment="1">
      <alignment vertical="center" wrapText="1"/>
    </xf>
    <xf numFmtId="9" fontId="12" fillId="0" borderId="1" xfId="1" applyNumberFormat="1" applyFont="1" applyFill="1" applyBorder="1" applyAlignment="1">
      <alignment horizontal="center" vertical="center" wrapText="1"/>
    </xf>
    <xf numFmtId="166" fontId="12" fillId="0" borderId="1" xfId="1" applyNumberFormat="1" applyFont="1" applyFill="1" applyBorder="1" applyAlignment="1">
      <alignment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 wrapText="1"/>
    </xf>
    <xf numFmtId="165" fontId="12" fillId="0" borderId="0" xfId="1" applyNumberFormat="1" applyFont="1" applyFill="1" applyBorder="1" applyAlignment="1">
      <alignment vertical="center" wrapText="1"/>
    </xf>
    <xf numFmtId="43" fontId="12" fillId="0" borderId="0" xfId="1" applyFont="1" applyFill="1" applyBorder="1" applyAlignment="1">
      <alignment vertical="center" wrapText="1"/>
    </xf>
    <xf numFmtId="9" fontId="12" fillId="0" borderId="0" xfId="1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43" fontId="12" fillId="0" borderId="0" xfId="0" applyNumberFormat="1" applyFont="1" applyBorder="1" applyAlignment="1">
      <alignment vertical="center" wrapText="1"/>
    </xf>
    <xf numFmtId="0" fontId="8" fillId="0" borderId="0" xfId="0" applyFont="1"/>
    <xf numFmtId="168" fontId="8" fillId="0" borderId="0" xfId="2" applyNumberFormat="1" applyFont="1"/>
    <xf numFmtId="0" fontId="12" fillId="0" borderId="1" xfId="0" applyFont="1" applyBorder="1" applyAlignment="1">
      <alignment vertical="center" wrapText="1"/>
    </xf>
    <xf numFmtId="165" fontId="12" fillId="0" borderId="1" xfId="0" applyNumberFormat="1" applyFont="1" applyBorder="1" applyAlignment="1">
      <alignment vertical="center" wrapText="1"/>
    </xf>
    <xf numFmtId="43" fontId="12" fillId="0" borderId="1" xfId="0" applyNumberFormat="1" applyFont="1" applyBorder="1" applyAlignment="1">
      <alignment vertical="center" wrapText="1"/>
    </xf>
    <xf numFmtId="9" fontId="12" fillId="0" borderId="1" xfId="0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165" fontId="12" fillId="0" borderId="1" xfId="1" applyNumberFormat="1" applyFont="1" applyBorder="1" applyAlignment="1">
      <alignment vertical="center" wrapText="1"/>
    </xf>
    <xf numFmtId="4" fontId="13" fillId="0" borderId="1" xfId="0" applyNumberFormat="1" applyFont="1" applyBorder="1" applyAlignment="1">
      <alignment horizontal="right" vertical="center" wrapText="1"/>
    </xf>
    <xf numFmtId="9" fontId="12" fillId="0" borderId="1" xfId="1" applyNumberFormat="1" applyFont="1" applyBorder="1" applyAlignment="1">
      <alignment horizontal="center" vertical="center" wrapText="1"/>
    </xf>
    <xf numFmtId="43" fontId="12" fillId="0" borderId="1" xfId="1" applyFont="1" applyBorder="1" applyAlignment="1">
      <alignment vertical="center" wrapText="1"/>
    </xf>
    <xf numFmtId="0" fontId="15" fillId="0" borderId="0" xfId="0" applyFont="1" applyBorder="1" applyAlignment="1">
      <alignment horizontal="center" wrapText="1"/>
    </xf>
    <xf numFmtId="0" fontId="8" fillId="0" borderId="0" xfId="0" applyFont="1" applyAlignment="1">
      <alignment horizontal="center" vertical="center"/>
    </xf>
    <xf numFmtId="166" fontId="12" fillId="0" borderId="1" xfId="1" applyNumberFormat="1" applyFont="1" applyBorder="1" applyAlignment="1">
      <alignment horizontal="right" vertical="center" wrapText="1"/>
    </xf>
    <xf numFmtId="43" fontId="12" fillId="0" borderId="1" xfId="1" applyFont="1" applyBorder="1" applyAlignment="1">
      <alignment horizontal="right" vertical="center" wrapText="1"/>
    </xf>
    <xf numFmtId="168" fontId="13" fillId="0" borderId="1" xfId="2" applyNumberFormat="1" applyFont="1" applyBorder="1" applyAlignment="1">
      <alignment horizontal="right" vertical="center" wrapText="1"/>
    </xf>
    <xf numFmtId="165" fontId="12" fillId="0" borderId="1" xfId="1" applyNumberFormat="1" applyFont="1" applyBorder="1" applyAlignment="1">
      <alignment horizontal="center" vertical="center" wrapText="1"/>
    </xf>
    <xf numFmtId="168" fontId="13" fillId="0" borderId="1" xfId="0" applyNumberFormat="1" applyFont="1" applyBorder="1" applyAlignment="1">
      <alignment horizontal="center" vertical="center" wrapText="1"/>
    </xf>
    <xf numFmtId="9" fontId="14" fillId="0" borderId="1" xfId="3" applyFont="1" applyBorder="1" applyAlignment="1">
      <alignment horizontal="center" vertical="center"/>
    </xf>
    <xf numFmtId="41" fontId="14" fillId="0" borderId="1" xfId="2" applyFont="1" applyBorder="1" applyAlignment="1">
      <alignment horizontal="center" vertical="center"/>
    </xf>
    <xf numFmtId="3" fontId="13" fillId="0" borderId="1" xfId="0" applyNumberFormat="1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165" fontId="12" fillId="0" borderId="0" xfId="1" applyNumberFormat="1" applyFont="1" applyBorder="1" applyAlignment="1">
      <alignment vertical="center" wrapText="1"/>
    </xf>
    <xf numFmtId="4" fontId="13" fillId="0" borderId="0" xfId="0" applyNumberFormat="1" applyFont="1" applyBorder="1" applyAlignment="1">
      <alignment horizontal="right" vertical="center" wrapText="1"/>
    </xf>
    <xf numFmtId="9" fontId="12" fillId="0" borderId="0" xfId="1" applyNumberFormat="1" applyFont="1" applyBorder="1" applyAlignment="1">
      <alignment horizontal="center" vertical="center" wrapText="1"/>
    </xf>
    <xf numFmtId="43" fontId="12" fillId="0" borderId="0" xfId="1" applyFont="1" applyBorder="1" applyAlignment="1">
      <alignment vertical="center" wrapText="1"/>
    </xf>
    <xf numFmtId="43" fontId="12" fillId="0" borderId="0" xfId="1" applyFont="1" applyBorder="1" applyAlignment="1">
      <alignment horizontal="center" vertical="center" wrapText="1"/>
    </xf>
    <xf numFmtId="41" fontId="13" fillId="0" borderId="1" xfId="2" applyFont="1" applyBorder="1" applyAlignment="1">
      <alignment wrapText="1"/>
    </xf>
    <xf numFmtId="168" fontId="13" fillId="0" borderId="1" xfId="0" applyNumberFormat="1" applyFont="1" applyBorder="1" applyAlignment="1">
      <alignment wrapText="1"/>
    </xf>
    <xf numFmtId="41" fontId="14" fillId="0" borderId="1" xfId="2" applyFont="1" applyBorder="1" applyAlignment="1"/>
    <xf numFmtId="41" fontId="13" fillId="0" borderId="1" xfId="0" applyNumberFormat="1" applyFont="1" applyBorder="1" applyAlignment="1">
      <alignment horizontal="right" vertical="center" wrapText="1"/>
    </xf>
    <xf numFmtId="41" fontId="13" fillId="0" borderId="1" xfId="2" applyFont="1" applyBorder="1" applyAlignment="1">
      <alignment horizontal="right" vertical="center" wrapText="1"/>
    </xf>
    <xf numFmtId="169" fontId="12" fillId="0" borderId="1" xfId="1" applyNumberFormat="1" applyFont="1" applyFill="1" applyBorder="1" applyAlignment="1">
      <alignment wrapText="1"/>
    </xf>
    <xf numFmtId="43" fontId="14" fillId="0" borderId="1" xfId="1" applyFont="1" applyBorder="1" applyAlignment="1">
      <alignment horizontal="center" wrapText="1"/>
    </xf>
    <xf numFmtId="43" fontId="14" fillId="0" borderId="1" xfId="1" applyFont="1" applyBorder="1" applyAlignment="1">
      <alignment wrapText="1"/>
    </xf>
    <xf numFmtId="0" fontId="13" fillId="0" borderId="0" xfId="0" applyFont="1" applyBorder="1" applyAlignment="1">
      <alignment vertical="center" wrapText="1"/>
    </xf>
    <xf numFmtId="0" fontId="14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41" fontId="13" fillId="0" borderId="0" xfId="0" applyNumberFormat="1" applyFont="1" applyBorder="1" applyAlignment="1">
      <alignment wrapText="1"/>
    </xf>
    <xf numFmtId="168" fontId="13" fillId="0" borderId="0" xfId="0" applyNumberFormat="1" applyFont="1" applyBorder="1" applyAlignment="1">
      <alignment wrapText="1"/>
    </xf>
    <xf numFmtId="41" fontId="13" fillId="0" borderId="0" xfId="0" applyNumberFormat="1" applyFont="1" applyBorder="1"/>
    <xf numFmtId="168" fontId="13" fillId="0" borderId="0" xfId="0" applyNumberFormat="1" applyFont="1" applyBorder="1" applyAlignment="1">
      <alignment horizontal="center"/>
    </xf>
    <xf numFmtId="0" fontId="0" fillId="0" borderId="0" xfId="0" applyBorder="1" applyAlignment="1">
      <alignment horizontal="center" vertical="center" wrapText="1"/>
    </xf>
    <xf numFmtId="0" fontId="0" fillId="0" borderId="0" xfId="0" applyFill="1" applyBorder="1" applyAlignment="1">
      <alignment wrapText="1"/>
    </xf>
    <xf numFmtId="0" fontId="0" fillId="0" borderId="0" xfId="0" applyBorder="1" applyAlignment="1">
      <alignment wrapText="1"/>
    </xf>
    <xf numFmtId="15" fontId="17" fillId="0" borderId="0" xfId="0" applyNumberFormat="1" applyFont="1" applyFill="1" applyBorder="1" applyAlignment="1">
      <alignment horizontal="center"/>
    </xf>
    <xf numFmtId="165" fontId="2" fillId="0" borderId="0" xfId="1" applyNumberFormat="1" applyFont="1" applyFill="1" applyBorder="1" applyAlignment="1">
      <alignment wrapText="1"/>
    </xf>
    <xf numFmtId="43" fontId="2" fillId="0" borderId="0" xfId="1" applyFont="1" applyFill="1" applyBorder="1" applyAlignment="1">
      <alignment wrapText="1"/>
    </xf>
    <xf numFmtId="43" fontId="2" fillId="0" borderId="0" xfId="1" applyFont="1" applyFill="1" applyBorder="1" applyAlignment="1">
      <alignment horizontal="center" wrapText="1"/>
    </xf>
    <xf numFmtId="43" fontId="4" fillId="0" borderId="0" xfId="1" applyFont="1" applyBorder="1" applyAlignment="1">
      <alignment horizont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wrapText="1"/>
    </xf>
    <xf numFmtId="0" fontId="5" fillId="0" borderId="0" xfId="0" applyFont="1" applyBorder="1" applyAlignment="1">
      <alignment horizontal="center" wrapText="1"/>
    </xf>
    <xf numFmtId="165" fontId="5" fillId="0" borderId="0" xfId="1" applyNumberFormat="1" applyFont="1" applyBorder="1" applyAlignment="1">
      <alignment horizontal="center" wrapText="1"/>
    </xf>
    <xf numFmtId="43" fontId="6" fillId="0" borderId="0" xfId="1" applyFont="1" applyBorder="1" applyAlignment="1">
      <alignment horizontal="center" wrapText="1"/>
    </xf>
    <xf numFmtId="166" fontId="12" fillId="0" borderId="1" xfId="0" applyNumberFormat="1" applyFont="1" applyBorder="1" applyAlignment="1">
      <alignment horizontal="right" vertical="center" wrapText="1"/>
    </xf>
    <xf numFmtId="164" fontId="12" fillId="0" borderId="1" xfId="0" applyNumberFormat="1" applyFont="1" applyBorder="1" applyAlignment="1">
      <alignment vertical="center" wrapText="1"/>
    </xf>
    <xf numFmtId="0" fontId="12" fillId="0" borderId="1" xfId="0" applyNumberFormat="1" applyFont="1" applyBorder="1" applyAlignment="1">
      <alignment vertical="center" wrapText="1"/>
    </xf>
    <xf numFmtId="41" fontId="13" fillId="0" borderId="1" xfId="0" applyNumberFormat="1" applyFont="1" applyBorder="1" applyAlignment="1">
      <alignment wrapText="1"/>
    </xf>
    <xf numFmtId="9" fontId="13" fillId="0" borderId="1" xfId="3" applyFont="1" applyBorder="1" applyAlignment="1">
      <alignment horizontal="center" wrapText="1"/>
    </xf>
    <xf numFmtId="41" fontId="13" fillId="0" borderId="1" xfId="0" applyNumberFormat="1" applyFont="1" applyBorder="1"/>
    <xf numFmtId="0" fontId="14" fillId="0" borderId="1" xfId="0" applyFont="1" applyBorder="1" applyAlignment="1">
      <alignment horizontal="center" vertical="center" wrapText="1"/>
    </xf>
    <xf numFmtId="43" fontId="13" fillId="0" borderId="1" xfId="0" applyNumberFormat="1" applyFont="1" applyBorder="1" applyAlignment="1">
      <alignment horizontal="center" wrapText="1"/>
    </xf>
    <xf numFmtId="43" fontId="13" fillId="0" borderId="1" xfId="0" applyNumberFormat="1" applyFont="1" applyBorder="1" applyAlignment="1">
      <alignment wrapText="1"/>
    </xf>
    <xf numFmtId="43" fontId="14" fillId="0" borderId="0" xfId="1" applyFont="1" applyBorder="1" applyAlignment="1">
      <alignment wrapText="1"/>
    </xf>
    <xf numFmtId="43" fontId="14" fillId="0" borderId="0" xfId="1" applyFont="1" applyBorder="1" applyAlignment="1">
      <alignment horizontal="center" wrapText="1"/>
    </xf>
    <xf numFmtId="165" fontId="14" fillId="0" borderId="1" xfId="1" applyNumberFormat="1" applyFont="1" applyBorder="1" applyAlignment="1">
      <alignment wrapText="1"/>
    </xf>
    <xf numFmtId="41" fontId="14" fillId="0" borderId="0" xfId="2" applyFont="1" applyBorder="1" applyAlignment="1"/>
    <xf numFmtId="168" fontId="14" fillId="0" borderId="0" xfId="2" applyNumberFormat="1" applyFont="1" applyBorder="1" applyAlignment="1">
      <alignment horizontal="center"/>
    </xf>
    <xf numFmtId="0" fontId="13" fillId="0" borderId="6" xfId="0" applyFont="1" applyBorder="1" applyAlignment="1">
      <alignment vertical="center" wrapText="1"/>
    </xf>
    <xf numFmtId="0" fontId="14" fillId="0" borderId="1" xfId="0" applyFont="1" applyBorder="1" applyAlignment="1">
      <alignment wrapText="1"/>
    </xf>
    <xf numFmtId="0" fontId="14" fillId="0" borderId="0" xfId="0" applyFont="1" applyFill="1" applyBorder="1" applyAlignment="1">
      <alignment horizontal="center" vertical="center" wrapText="1"/>
    </xf>
    <xf numFmtId="43" fontId="14" fillId="0" borderId="0" xfId="1" applyFont="1" applyFill="1" applyBorder="1" applyAlignment="1">
      <alignment wrapText="1"/>
    </xf>
    <xf numFmtId="165" fontId="14" fillId="0" borderId="0" xfId="1" applyNumberFormat="1" applyFont="1" applyBorder="1" applyAlignment="1">
      <alignment wrapText="1"/>
    </xf>
    <xf numFmtId="0" fontId="11" fillId="0" borderId="0" xfId="0" applyFont="1"/>
    <xf numFmtId="0" fontId="0" fillId="0" borderId="1" xfId="0" applyBorder="1" applyAlignment="1">
      <alignment horizontal="center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20" fillId="0" borderId="1" xfId="0" applyFont="1" applyBorder="1" applyAlignment="1">
      <alignment vertical="center" wrapText="1"/>
    </xf>
    <xf numFmtId="15" fontId="20" fillId="0" borderId="1" xfId="0" applyNumberFormat="1" applyFont="1" applyBorder="1" applyAlignment="1">
      <alignment horizontal="center" vertical="center" wrapText="1"/>
    </xf>
    <xf numFmtId="41" fontId="12" fillId="0" borderId="1" xfId="2" applyFont="1" applyBorder="1" applyAlignment="1">
      <alignment horizontal="center" vertical="center" wrapText="1"/>
    </xf>
    <xf numFmtId="41" fontId="12" fillId="0" borderId="1" xfId="2" applyFont="1" applyBorder="1" applyAlignment="1">
      <alignment vertical="center" wrapText="1"/>
    </xf>
    <xf numFmtId="41" fontId="5" fillId="0" borderId="0" xfId="2" applyFont="1" applyBorder="1" applyAlignment="1">
      <alignment horizontal="center" vertical="center" wrapText="1"/>
    </xf>
    <xf numFmtId="41" fontId="2" fillId="0" borderId="0" xfId="2" applyFont="1" applyFill="1" applyBorder="1" applyAlignment="1">
      <alignment horizontal="center" vertical="center" wrapText="1"/>
    </xf>
    <xf numFmtId="41" fontId="4" fillId="0" borderId="0" xfId="2" applyFont="1" applyAlignment="1">
      <alignment horizontal="center" vertical="center" wrapText="1"/>
    </xf>
    <xf numFmtId="41" fontId="14" fillId="0" borderId="1" xfId="2" applyFont="1" applyBorder="1" applyAlignment="1">
      <alignment horizontal="center" vertical="center" wrapText="1"/>
    </xf>
    <xf numFmtId="41" fontId="13" fillId="0" borderId="1" xfId="2" applyFont="1" applyBorder="1" applyAlignment="1">
      <alignment horizontal="center" vertical="center" wrapText="1"/>
    </xf>
    <xf numFmtId="41" fontId="12" fillId="0" borderId="1" xfId="2" applyFont="1" applyFill="1" applyBorder="1" applyAlignment="1">
      <alignment horizontal="center" vertical="center" wrapText="1"/>
    </xf>
    <xf numFmtId="41" fontId="13" fillId="0" borderId="0" xfId="2" applyFont="1" applyBorder="1" applyAlignment="1">
      <alignment horizontal="center" vertical="center" wrapText="1"/>
    </xf>
    <xf numFmtId="41" fontId="13" fillId="0" borderId="1" xfId="2" applyFont="1" applyBorder="1" applyAlignment="1">
      <alignment horizontal="center" vertical="center"/>
    </xf>
    <xf numFmtId="41" fontId="12" fillId="0" borderId="0" xfId="2" applyFont="1" applyBorder="1" applyAlignment="1">
      <alignment horizontal="center" vertical="center" wrapText="1"/>
    </xf>
    <xf numFmtId="41" fontId="12" fillId="0" borderId="0" xfId="2" applyFont="1" applyFill="1" applyBorder="1" applyAlignment="1">
      <alignment horizontal="center" vertical="center" wrapText="1"/>
    </xf>
    <xf numFmtId="41" fontId="13" fillId="0" borderId="0" xfId="2" applyFont="1" applyBorder="1" applyAlignment="1">
      <alignment horizontal="center" vertical="center"/>
    </xf>
    <xf numFmtId="41" fontId="8" fillId="0" borderId="0" xfId="2" applyFont="1" applyAlignment="1">
      <alignment horizontal="center" vertical="center"/>
    </xf>
    <xf numFmtId="41" fontId="0" fillId="0" borderId="0" xfId="2" applyFont="1" applyAlignment="1">
      <alignment horizontal="center" vertical="center"/>
    </xf>
    <xf numFmtId="15" fontId="14" fillId="0" borderId="1" xfId="0" applyNumberFormat="1" applyFont="1" applyBorder="1" applyAlignment="1">
      <alignment horizontal="center" vertical="center" wrapText="1"/>
    </xf>
    <xf numFmtId="15" fontId="12" fillId="0" borderId="1" xfId="0" applyNumberFormat="1" applyFont="1" applyBorder="1" applyAlignment="1">
      <alignment horizontal="center" vertical="center" wrapText="1"/>
    </xf>
    <xf numFmtId="15" fontId="12" fillId="0" borderId="7" xfId="0" applyNumberFormat="1" applyFont="1" applyBorder="1" applyAlignment="1">
      <alignment horizontal="center" vertical="center" wrapText="1"/>
    </xf>
    <xf numFmtId="15" fontId="13" fillId="0" borderId="1" xfId="0" applyNumberFormat="1" applyFont="1" applyBorder="1" applyAlignment="1">
      <alignment horizontal="center" vertical="center" wrapText="1"/>
    </xf>
    <xf numFmtId="15" fontId="12" fillId="0" borderId="1" xfId="0" applyNumberFormat="1" applyFont="1" applyFill="1" applyBorder="1" applyAlignment="1">
      <alignment horizontal="center" vertical="center" wrapText="1"/>
    </xf>
    <xf numFmtId="167" fontId="13" fillId="0" borderId="1" xfId="0" applyNumberFormat="1" applyFont="1" applyBorder="1" applyAlignment="1">
      <alignment horizontal="center" vertical="center" wrapText="1"/>
    </xf>
    <xf numFmtId="15" fontId="13" fillId="0" borderId="0" xfId="0" applyNumberFormat="1" applyFont="1" applyBorder="1" applyAlignment="1">
      <alignment horizontal="center" vertical="center" wrapText="1"/>
    </xf>
    <xf numFmtId="15" fontId="12" fillId="0" borderId="0" xfId="0" applyNumberFormat="1" applyFont="1" applyFill="1" applyBorder="1" applyAlignment="1">
      <alignment horizontal="center" vertical="center" wrapText="1"/>
    </xf>
    <xf numFmtId="0" fontId="13" fillId="0" borderId="7" xfId="0" applyFont="1" applyBorder="1" applyAlignment="1">
      <alignment vertical="center" wrapText="1"/>
    </xf>
    <xf numFmtId="0" fontId="12" fillId="0" borderId="5" xfId="0" applyFont="1" applyBorder="1" applyAlignment="1">
      <alignment horizontal="center" vertical="center" wrapText="1"/>
    </xf>
    <xf numFmtId="0" fontId="13" fillId="0" borderId="8" xfId="0" applyFont="1" applyBorder="1" applyAlignment="1">
      <alignment vertical="center" wrapText="1"/>
    </xf>
    <xf numFmtId="0" fontId="14" fillId="0" borderId="1" xfId="0" applyFont="1" applyBorder="1" applyAlignment="1">
      <alignment horizontal="justify" vertical="center"/>
    </xf>
    <xf numFmtId="0" fontId="14" fillId="0" borderId="1" xfId="0" applyFont="1" applyBorder="1" applyAlignment="1">
      <alignment horizontal="justify" vertical="top"/>
    </xf>
    <xf numFmtId="43" fontId="12" fillId="0" borderId="1" xfId="0" applyNumberFormat="1" applyFont="1" applyBorder="1" applyAlignment="1">
      <alignment horizontal="center" vertical="center" wrapText="1"/>
    </xf>
    <xf numFmtId="41" fontId="12" fillId="0" borderId="1" xfId="0" applyNumberFormat="1" applyFont="1" applyBorder="1" applyAlignment="1">
      <alignment horizontal="center" vertical="center" wrapText="1"/>
    </xf>
    <xf numFmtId="43" fontId="4" fillId="0" borderId="1" xfId="1" applyFont="1" applyBorder="1" applyAlignment="1">
      <alignment wrapText="1"/>
    </xf>
    <xf numFmtId="15" fontId="0" fillId="0" borderId="0" xfId="0" applyNumberFormat="1" applyAlignment="1">
      <alignment horizontal="center" vertical="center" wrapText="1"/>
    </xf>
    <xf numFmtId="3" fontId="13" fillId="0" borderId="0" xfId="0" applyNumberFormat="1" applyFont="1" applyBorder="1" applyAlignment="1">
      <alignment horizontal="right" vertical="center" wrapText="1"/>
    </xf>
    <xf numFmtId="41" fontId="13" fillId="0" borderId="9" xfId="2" applyFont="1" applyBorder="1" applyAlignment="1">
      <alignment horizontal="center" vertical="center" wrapText="1"/>
    </xf>
    <xf numFmtId="168" fontId="13" fillId="0" borderId="0" xfId="2" applyNumberFormat="1" applyFont="1" applyBorder="1" applyAlignment="1">
      <alignment horizontal="right" vertical="center" wrapText="1"/>
    </xf>
    <xf numFmtId="41" fontId="13" fillId="0" borderId="5" xfId="2" applyFont="1" applyBorder="1" applyAlignment="1">
      <alignment horizontal="center" vertical="center" wrapText="1"/>
    </xf>
    <xf numFmtId="15" fontId="14" fillId="0" borderId="5" xfId="0" applyNumberFormat="1" applyFont="1" applyBorder="1" applyAlignment="1">
      <alignment horizontal="center" vertical="center" wrapText="1"/>
    </xf>
    <xf numFmtId="41" fontId="14" fillId="0" borderId="5" xfId="2" applyFont="1" applyBorder="1" applyAlignment="1">
      <alignment horizontal="center" vertical="center" wrapText="1"/>
    </xf>
    <xf numFmtId="3" fontId="14" fillId="0" borderId="1" xfId="0" applyNumberFormat="1" applyFont="1" applyBorder="1" applyAlignment="1">
      <alignment vertical="center"/>
    </xf>
    <xf numFmtId="0" fontId="14" fillId="0" borderId="5" xfId="0" applyFont="1" applyBorder="1" applyAlignment="1">
      <alignment horizontal="center" vertical="center" wrapText="1"/>
    </xf>
    <xf numFmtId="41" fontId="14" fillId="0" borderId="1" xfId="2" applyFont="1" applyBorder="1" applyAlignment="1">
      <alignment horizontal="right" vertical="center" wrapText="1"/>
    </xf>
    <xf numFmtId="0" fontId="14" fillId="0" borderId="1" xfId="0" applyFont="1" applyBorder="1" applyAlignment="1">
      <alignment horizontal="justify" vertical="center" wrapText="1"/>
    </xf>
    <xf numFmtId="3" fontId="14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/>
    </xf>
    <xf numFmtId="0" fontId="13" fillId="0" borderId="9" xfId="0" applyFont="1" applyBorder="1" applyAlignment="1">
      <alignment horizontal="center" vertical="center" wrapText="1"/>
    </xf>
    <xf numFmtId="0" fontId="13" fillId="0" borderId="9" xfId="0" applyFont="1" applyBorder="1" applyAlignment="1">
      <alignment vertical="center" wrapText="1"/>
    </xf>
    <xf numFmtId="0" fontId="13" fillId="0" borderId="8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43" fontId="22" fillId="0" borderId="0" xfId="0" applyNumberFormat="1" applyFont="1" applyAlignment="1">
      <alignment horizont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5" xfId="0" applyFont="1" applyBorder="1" applyAlignment="1">
      <alignment vertical="center" wrapText="1"/>
    </xf>
    <xf numFmtId="15" fontId="13" fillId="0" borderId="5" xfId="0" applyNumberFormat="1" applyFont="1" applyBorder="1" applyAlignment="1">
      <alignment horizontal="center" vertical="center" wrapText="1"/>
    </xf>
    <xf numFmtId="43" fontId="13" fillId="0" borderId="0" xfId="0" applyNumberFormat="1" applyFont="1" applyBorder="1" applyAlignment="1">
      <alignment horizontal="center" wrapText="1"/>
    </xf>
    <xf numFmtId="43" fontId="13" fillId="0" borderId="0" xfId="0" applyNumberFormat="1" applyFont="1" applyBorder="1" applyAlignment="1">
      <alignment wrapText="1"/>
    </xf>
    <xf numFmtId="41" fontId="13" fillId="0" borderId="7" xfId="0" applyNumberFormat="1" applyFont="1" applyBorder="1" applyAlignment="1">
      <alignment horizontal="center" vertical="center"/>
    </xf>
    <xf numFmtId="168" fontId="13" fillId="0" borderId="7" xfId="0" applyNumberFormat="1" applyFont="1" applyBorder="1" applyAlignment="1">
      <alignment horizontal="center"/>
    </xf>
    <xf numFmtId="41" fontId="13" fillId="0" borderId="8" xfId="0" applyNumberFormat="1" applyFont="1" applyBorder="1" applyAlignment="1">
      <alignment horizontal="center" vertical="center"/>
    </xf>
    <xf numFmtId="168" fontId="13" fillId="0" borderId="8" xfId="0" applyNumberFormat="1" applyFont="1" applyBorder="1" applyAlignment="1">
      <alignment horizontal="center"/>
    </xf>
    <xf numFmtId="167" fontId="13" fillId="0" borderId="0" xfId="0" applyNumberFormat="1" applyFont="1" applyBorder="1" applyAlignment="1">
      <alignment horizontal="center" vertical="center" wrapText="1"/>
    </xf>
    <xf numFmtId="15" fontId="17" fillId="0" borderId="0" xfId="0" applyNumberFormat="1" applyFont="1" applyAlignment="1">
      <alignment horizontal="center"/>
    </xf>
    <xf numFmtId="41" fontId="23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wrapText="1"/>
    </xf>
    <xf numFmtId="15" fontId="5" fillId="0" borderId="0" xfId="0" applyNumberFormat="1" applyFont="1" applyAlignment="1">
      <alignment horizontal="center" wrapText="1"/>
    </xf>
    <xf numFmtId="41" fontId="5" fillId="0" borderId="0" xfId="0" applyNumberFormat="1" applyFont="1" applyAlignment="1">
      <alignment horizontal="center" vertical="center" wrapText="1"/>
    </xf>
    <xf numFmtId="43" fontId="5" fillId="0" borderId="0" xfId="0" applyNumberFormat="1" applyFont="1" applyAlignment="1">
      <alignment horizontal="center" wrapText="1"/>
    </xf>
    <xf numFmtId="0" fontId="13" fillId="0" borderId="7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0" fillId="0" borderId="0" xfId="0" applyFont="1"/>
    <xf numFmtId="0" fontId="21" fillId="0" borderId="0" xfId="0" applyFont="1" applyAlignment="1">
      <alignment wrapText="1"/>
    </xf>
    <xf numFmtId="0" fontId="14" fillId="0" borderId="10" xfId="0" applyFont="1" applyBorder="1" applyAlignment="1">
      <alignment horizontal="center" vertical="center" wrapText="1"/>
    </xf>
    <xf numFmtId="43" fontId="12" fillId="0" borderId="11" xfId="1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168" fontId="13" fillId="0" borderId="11" xfId="2" applyNumberFormat="1" applyFont="1" applyBorder="1" applyAlignment="1">
      <alignment horizontal="right" vertical="center" wrapText="1"/>
    </xf>
    <xf numFmtId="43" fontId="12" fillId="0" borderId="11" xfId="1" applyFont="1" applyFill="1" applyBorder="1" applyAlignment="1">
      <alignment vertical="center" wrapText="1"/>
    </xf>
    <xf numFmtId="0" fontId="12" fillId="0" borderId="16" xfId="0" applyFont="1" applyBorder="1" applyAlignment="1">
      <alignment horizontal="center" vertical="center" wrapText="1"/>
    </xf>
    <xf numFmtId="0" fontId="13" fillId="0" borderId="17" xfId="0" applyFont="1" applyBorder="1" applyAlignment="1">
      <alignment vertical="center" wrapText="1"/>
    </xf>
    <xf numFmtId="0" fontId="13" fillId="0" borderId="17" xfId="0" applyFont="1" applyBorder="1" applyAlignment="1">
      <alignment horizontal="center" vertical="center" wrapText="1"/>
    </xf>
    <xf numFmtId="15" fontId="13" fillId="0" borderId="17" xfId="0" applyNumberFormat="1" applyFont="1" applyBorder="1" applyAlignment="1">
      <alignment horizontal="center" vertical="center" wrapText="1"/>
    </xf>
    <xf numFmtId="165" fontId="12" fillId="0" borderId="17" xfId="1" applyNumberFormat="1" applyFont="1" applyBorder="1" applyAlignment="1">
      <alignment vertical="center" wrapText="1"/>
    </xf>
    <xf numFmtId="3" fontId="13" fillId="0" borderId="17" xfId="0" applyNumberFormat="1" applyFont="1" applyBorder="1" applyAlignment="1">
      <alignment horizontal="right" vertical="center" wrapText="1"/>
    </xf>
    <xf numFmtId="43" fontId="13" fillId="0" borderId="17" xfId="0" applyNumberFormat="1" applyFont="1" applyBorder="1" applyAlignment="1">
      <alignment horizontal="center" wrapText="1"/>
    </xf>
    <xf numFmtId="41" fontId="13" fillId="0" borderId="17" xfId="2" applyFont="1" applyBorder="1" applyAlignment="1">
      <alignment horizontal="center" vertical="center" wrapText="1"/>
    </xf>
    <xf numFmtId="43" fontId="13" fillId="0" borderId="17" xfId="0" applyNumberFormat="1" applyFont="1" applyBorder="1" applyAlignment="1">
      <alignment wrapText="1"/>
    </xf>
    <xf numFmtId="168" fontId="13" fillId="0" borderId="18" xfId="2" applyNumberFormat="1" applyFont="1" applyBorder="1" applyAlignment="1">
      <alignment horizontal="right" vertical="center" wrapText="1"/>
    </xf>
    <xf numFmtId="0" fontId="14" fillId="0" borderId="15" xfId="0" applyFont="1" applyBorder="1" applyAlignment="1">
      <alignment horizontal="center" vertical="center" wrapText="1"/>
    </xf>
    <xf numFmtId="0" fontId="14" fillId="0" borderId="5" xfId="0" applyFont="1" applyBorder="1" applyAlignment="1">
      <alignment vertical="center" wrapText="1"/>
    </xf>
    <xf numFmtId="15" fontId="20" fillId="0" borderId="5" xfId="0" applyNumberFormat="1" applyFont="1" applyBorder="1" applyAlignment="1">
      <alignment horizontal="center" vertical="center" wrapText="1"/>
    </xf>
    <xf numFmtId="165" fontId="14" fillId="0" borderId="5" xfId="1" applyNumberFormat="1" applyFont="1" applyBorder="1" applyAlignment="1">
      <alignment wrapText="1"/>
    </xf>
    <xf numFmtId="43" fontId="14" fillId="0" borderId="5" xfId="1" applyFont="1" applyBorder="1" applyAlignment="1">
      <alignment wrapText="1"/>
    </xf>
    <xf numFmtId="43" fontId="14" fillId="0" borderId="5" xfId="1" applyFont="1" applyBorder="1" applyAlignment="1">
      <alignment horizontal="center" wrapText="1"/>
    </xf>
    <xf numFmtId="43" fontId="12" fillId="0" borderId="13" xfId="1" applyFont="1" applyBorder="1" applyAlignment="1">
      <alignment horizontal="center" vertical="center" wrapText="1"/>
    </xf>
    <xf numFmtId="0" fontId="24" fillId="0" borderId="19" xfId="0" applyFont="1" applyBorder="1" applyAlignment="1">
      <alignment horizontal="center" vertical="center" wrapText="1"/>
    </xf>
    <xf numFmtId="0" fontId="16" fillId="0" borderId="20" xfId="0" applyFont="1" applyBorder="1" applyAlignment="1">
      <alignment horizontal="center" vertical="center" wrapText="1"/>
    </xf>
    <xf numFmtId="15" fontId="16" fillId="0" borderId="20" xfId="0" applyNumberFormat="1" applyFont="1" applyBorder="1" applyAlignment="1">
      <alignment horizontal="center" vertical="center" wrapText="1"/>
    </xf>
    <xf numFmtId="165" fontId="16" fillId="0" borderId="20" xfId="1" applyNumberFormat="1" applyFont="1" applyBorder="1" applyAlignment="1">
      <alignment horizontal="center" vertical="center" wrapText="1"/>
    </xf>
    <xf numFmtId="43" fontId="16" fillId="0" borderId="20" xfId="1" applyFont="1" applyBorder="1" applyAlignment="1">
      <alignment horizontal="center" vertical="center" wrapText="1"/>
    </xf>
    <xf numFmtId="41" fontId="16" fillId="0" borderId="20" xfId="2" applyFont="1" applyBorder="1" applyAlignment="1">
      <alignment horizontal="center" vertical="center" wrapText="1"/>
    </xf>
    <xf numFmtId="43" fontId="16" fillId="0" borderId="21" xfId="1" applyFont="1" applyBorder="1" applyAlignment="1">
      <alignment horizontal="center" vertical="center" wrapText="1"/>
    </xf>
    <xf numFmtId="0" fontId="0" fillId="0" borderId="0" xfId="0" applyBorder="1"/>
    <xf numFmtId="0" fontId="0" fillId="0" borderId="0" xfId="0" applyBorder="1" applyAlignment="1">
      <alignment horizontal="center" vertical="center"/>
    </xf>
    <xf numFmtId="165" fontId="12" fillId="0" borderId="5" xfId="1" applyNumberFormat="1" applyFont="1" applyBorder="1" applyAlignment="1">
      <alignment vertical="center" wrapText="1"/>
    </xf>
    <xf numFmtId="166" fontId="12" fillId="0" borderId="5" xfId="1" applyNumberFormat="1" applyFont="1" applyBorder="1" applyAlignment="1">
      <alignment horizontal="right" vertical="center" wrapText="1"/>
    </xf>
    <xf numFmtId="9" fontId="12" fillId="0" borderId="5" xfId="1" applyNumberFormat="1" applyFont="1" applyBorder="1" applyAlignment="1">
      <alignment horizontal="center" vertical="center" wrapText="1"/>
    </xf>
    <xf numFmtId="43" fontId="12" fillId="0" borderId="5" xfId="1" applyFont="1" applyBorder="1" applyAlignment="1">
      <alignment vertical="center" wrapText="1"/>
    </xf>
    <xf numFmtId="164" fontId="12" fillId="0" borderId="11" xfId="0" applyNumberFormat="1" applyFont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 wrapText="1"/>
    </xf>
    <xf numFmtId="0" fontId="14" fillId="0" borderId="17" xfId="0" applyFont="1" applyBorder="1" applyAlignment="1">
      <alignment horizontal="center" vertical="center" wrapText="1"/>
    </xf>
    <xf numFmtId="0" fontId="14" fillId="0" borderId="17" xfId="0" applyFont="1" applyBorder="1" applyAlignment="1">
      <alignment vertical="center" wrapText="1"/>
    </xf>
    <xf numFmtId="15" fontId="14" fillId="0" borderId="17" xfId="0" applyNumberFormat="1" applyFont="1" applyBorder="1" applyAlignment="1">
      <alignment horizontal="center" vertical="center" wrapText="1"/>
    </xf>
    <xf numFmtId="166" fontId="12" fillId="0" borderId="17" xfId="0" applyNumberFormat="1" applyFont="1" applyBorder="1" applyAlignment="1">
      <alignment horizontal="right" vertical="center" wrapText="1"/>
    </xf>
    <xf numFmtId="9" fontId="12" fillId="0" borderId="17" xfId="0" applyNumberFormat="1" applyFont="1" applyBorder="1" applyAlignment="1">
      <alignment horizontal="center" vertical="center" wrapText="1"/>
    </xf>
    <xf numFmtId="41" fontId="12" fillId="0" borderId="17" xfId="2" applyFont="1" applyBorder="1" applyAlignment="1">
      <alignment vertical="center" wrapText="1"/>
    </xf>
    <xf numFmtId="43" fontId="12" fillId="0" borderId="17" xfId="1" applyFont="1" applyBorder="1" applyAlignment="1">
      <alignment vertical="center" wrapText="1"/>
    </xf>
    <xf numFmtId="43" fontId="12" fillId="0" borderId="18" xfId="1" applyFont="1" applyBorder="1" applyAlignment="1">
      <alignment horizontal="center" vertical="center" wrapText="1"/>
    </xf>
    <xf numFmtId="15" fontId="0" fillId="0" borderId="0" xfId="0" applyNumberFormat="1" applyBorder="1" applyAlignment="1">
      <alignment horizontal="center" vertical="center" wrapText="1"/>
    </xf>
    <xf numFmtId="15" fontId="3" fillId="0" borderId="0" xfId="0" applyNumberFormat="1" applyFont="1" applyFill="1" applyBorder="1" applyAlignment="1">
      <alignment horizontal="center" vertical="center"/>
    </xf>
    <xf numFmtId="15" fontId="5" fillId="0" borderId="0" xfId="0" applyNumberFormat="1" applyFont="1" applyBorder="1" applyAlignment="1">
      <alignment horizontal="center" vertical="center" wrapText="1"/>
    </xf>
    <xf numFmtId="15" fontId="11" fillId="0" borderId="0" xfId="0" applyNumberFormat="1" applyFont="1" applyAlignment="1">
      <alignment horizontal="center" vertical="center" wrapText="1"/>
    </xf>
    <xf numFmtId="15" fontId="5" fillId="0" borderId="0" xfId="0" applyNumberFormat="1" applyFont="1" applyAlignment="1">
      <alignment horizontal="center" vertical="center" wrapText="1"/>
    </xf>
    <xf numFmtId="167" fontId="13" fillId="0" borderId="7" xfId="0" applyNumberFormat="1" applyFont="1" applyBorder="1" applyAlignment="1">
      <alignment horizontal="center" vertical="center" wrapText="1"/>
    </xf>
    <xf numFmtId="167" fontId="13" fillId="0" borderId="8" xfId="0" applyNumberFormat="1" applyFont="1" applyBorder="1" applyAlignment="1">
      <alignment horizontal="center" vertical="center" wrapText="1"/>
    </xf>
    <xf numFmtId="0" fontId="24" fillId="0" borderId="22" xfId="0" applyFont="1" applyBorder="1" applyAlignment="1">
      <alignment horizontal="center" vertical="center" wrapText="1"/>
    </xf>
    <xf numFmtId="0" fontId="14" fillId="0" borderId="24" xfId="0" applyFont="1" applyBorder="1" applyAlignment="1">
      <alignment horizontal="center" vertical="center" wrapText="1"/>
    </xf>
    <xf numFmtId="0" fontId="14" fillId="0" borderId="25" xfId="0" applyFont="1" applyBorder="1" applyAlignment="1">
      <alignment horizontal="center" vertical="center" wrapText="1"/>
    </xf>
    <xf numFmtId="0" fontId="16" fillId="0" borderId="19" xfId="0" applyFont="1" applyFill="1" applyBorder="1" applyAlignment="1">
      <alignment vertical="center" wrapText="1"/>
    </xf>
    <xf numFmtId="0" fontId="14" fillId="0" borderId="10" xfId="0" applyFont="1" applyBorder="1" applyAlignment="1">
      <alignment horizontal="center" wrapText="1"/>
    </xf>
    <xf numFmtId="0" fontId="12" fillId="0" borderId="10" xfId="0" applyFont="1" applyFill="1" applyBorder="1" applyAlignment="1">
      <alignment vertical="center" wrapText="1"/>
    </xf>
    <xf numFmtId="0" fontId="14" fillId="0" borderId="16" xfId="0" applyFont="1" applyBorder="1" applyAlignment="1">
      <alignment horizontal="center" wrapText="1"/>
    </xf>
    <xf numFmtId="0" fontId="12" fillId="0" borderId="5" xfId="0" applyFont="1" applyFill="1" applyBorder="1" applyAlignment="1">
      <alignment vertical="center" wrapText="1"/>
    </xf>
    <xf numFmtId="0" fontId="12" fillId="0" borderId="5" xfId="0" applyFont="1" applyBorder="1" applyAlignment="1">
      <alignment vertical="center" wrapText="1"/>
    </xf>
    <xf numFmtId="15" fontId="12" fillId="0" borderId="5" xfId="0" applyNumberFormat="1" applyFont="1" applyBorder="1" applyAlignment="1">
      <alignment horizontal="center" vertical="center" wrapText="1"/>
    </xf>
    <xf numFmtId="41" fontId="12" fillId="0" borderId="5" xfId="2" applyFont="1" applyBorder="1" applyAlignment="1">
      <alignment horizontal="center" vertical="center" wrapText="1"/>
    </xf>
    <xf numFmtId="167" fontId="13" fillId="0" borderId="9" xfId="0" applyNumberFormat="1" applyFont="1" applyBorder="1" applyAlignment="1">
      <alignment horizontal="center" vertical="center" wrapText="1"/>
    </xf>
    <xf numFmtId="165" fontId="12" fillId="0" borderId="9" xfId="1" applyNumberFormat="1" applyFont="1" applyBorder="1" applyAlignment="1">
      <alignment vertical="center" wrapText="1"/>
    </xf>
    <xf numFmtId="168" fontId="13" fillId="0" borderId="9" xfId="2" applyNumberFormat="1" applyFont="1" applyBorder="1" applyAlignment="1">
      <alignment horizontal="right" vertical="center" wrapText="1"/>
    </xf>
    <xf numFmtId="9" fontId="12" fillId="0" borderId="9" xfId="1" applyNumberFormat="1" applyFont="1" applyBorder="1" applyAlignment="1">
      <alignment horizontal="center" vertical="center" wrapText="1"/>
    </xf>
    <xf numFmtId="43" fontId="12" fillId="0" borderId="9" xfId="1" applyFont="1" applyBorder="1" applyAlignment="1">
      <alignment vertical="center" wrapText="1"/>
    </xf>
    <xf numFmtId="43" fontId="12" fillId="0" borderId="9" xfId="1" applyFont="1" applyBorder="1" applyAlignment="1">
      <alignment horizontal="center" vertical="center" wrapText="1"/>
    </xf>
    <xf numFmtId="167" fontId="13" fillId="0" borderId="17" xfId="0" applyNumberFormat="1" applyFont="1" applyBorder="1" applyAlignment="1">
      <alignment horizontal="center" vertical="center" wrapText="1"/>
    </xf>
    <xf numFmtId="168" fontId="13" fillId="0" borderId="17" xfId="2" applyNumberFormat="1" applyFont="1" applyBorder="1" applyAlignment="1">
      <alignment horizontal="right" vertical="center" wrapText="1"/>
    </xf>
    <xf numFmtId="9" fontId="12" fillId="0" borderId="17" xfId="1" applyNumberFormat="1" applyFont="1" applyBorder="1" applyAlignment="1">
      <alignment horizontal="center" vertical="center" wrapText="1"/>
    </xf>
    <xf numFmtId="43" fontId="12" fillId="0" borderId="5" xfId="1" applyFont="1" applyBorder="1" applyAlignment="1">
      <alignment horizontal="right" vertical="center" wrapText="1"/>
    </xf>
    <xf numFmtId="4" fontId="13" fillId="0" borderId="17" xfId="0" applyNumberFormat="1" applyFont="1" applyBorder="1" applyAlignment="1">
      <alignment horizontal="right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3" fontId="13" fillId="0" borderId="5" xfId="0" applyNumberFormat="1" applyFont="1" applyBorder="1" applyAlignment="1">
      <alignment horizontal="right" vertical="center" wrapText="1"/>
    </xf>
    <xf numFmtId="43" fontId="13" fillId="0" borderId="5" xfId="0" applyNumberFormat="1" applyFont="1" applyBorder="1" applyAlignment="1">
      <alignment horizontal="center" wrapText="1"/>
    </xf>
    <xf numFmtId="43" fontId="13" fillId="0" borderId="5" xfId="0" applyNumberFormat="1" applyFont="1" applyBorder="1" applyAlignment="1">
      <alignment wrapText="1"/>
    </xf>
    <xf numFmtId="168" fontId="13" fillId="0" borderId="5" xfId="0" applyNumberFormat="1" applyFont="1" applyBorder="1" applyAlignment="1">
      <alignment horizontal="right" vertical="center" wrapText="1"/>
    </xf>
    <xf numFmtId="168" fontId="13" fillId="0" borderId="11" xfId="2" applyNumberFormat="1" applyFont="1" applyBorder="1" applyAlignment="1">
      <alignment horizontal="center"/>
    </xf>
    <xf numFmtId="168" fontId="14" fillId="0" borderId="11" xfId="2" applyNumberFormat="1" applyFont="1" applyBorder="1" applyAlignment="1">
      <alignment horizontal="center" vertical="center"/>
    </xf>
    <xf numFmtId="168" fontId="13" fillId="0" borderId="11" xfId="0" applyNumberFormat="1" applyFont="1" applyBorder="1" applyAlignment="1">
      <alignment horizontal="right" vertical="center" wrapText="1"/>
    </xf>
    <xf numFmtId="0" fontId="13" fillId="0" borderId="16" xfId="0" applyFont="1" applyBorder="1" applyAlignment="1">
      <alignment horizontal="center" vertical="center" wrapText="1"/>
    </xf>
    <xf numFmtId="168" fontId="13" fillId="0" borderId="18" xfId="0" applyNumberFormat="1" applyFont="1" applyBorder="1" applyAlignment="1">
      <alignment horizontal="right" vertical="center" wrapText="1"/>
    </xf>
    <xf numFmtId="41" fontId="12" fillId="0" borderId="17" xfId="2" applyFont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43" fontId="12" fillId="0" borderId="11" xfId="0" applyNumberFormat="1" applyFont="1" applyBorder="1" applyAlignment="1">
      <alignment vertical="center" wrapText="1"/>
    </xf>
    <xf numFmtId="0" fontId="12" fillId="0" borderId="15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15" fontId="12" fillId="0" borderId="5" xfId="0" applyNumberFormat="1" applyFont="1" applyFill="1" applyBorder="1" applyAlignment="1">
      <alignment horizontal="center" vertical="center" wrapText="1"/>
    </xf>
    <xf numFmtId="165" fontId="12" fillId="0" borderId="5" xfId="1" applyNumberFormat="1" applyFont="1" applyFill="1" applyBorder="1" applyAlignment="1">
      <alignment vertical="center" wrapText="1"/>
    </xf>
    <xf numFmtId="43" fontId="12" fillId="0" borderId="5" xfId="1" applyFont="1" applyFill="1" applyBorder="1" applyAlignment="1">
      <alignment vertical="center" wrapText="1"/>
    </xf>
    <xf numFmtId="9" fontId="12" fillId="0" borderId="5" xfId="1" applyNumberFormat="1" applyFont="1" applyFill="1" applyBorder="1" applyAlignment="1">
      <alignment horizontal="center" vertical="center" wrapText="1"/>
    </xf>
    <xf numFmtId="41" fontId="12" fillId="0" borderId="5" xfId="2" applyFont="1" applyFill="1" applyBorder="1" applyAlignment="1">
      <alignment horizontal="center" vertical="center" wrapText="1"/>
    </xf>
    <xf numFmtId="43" fontId="12" fillId="0" borderId="13" xfId="1" applyFont="1" applyFill="1" applyBorder="1" applyAlignment="1">
      <alignment vertical="center" wrapText="1"/>
    </xf>
    <xf numFmtId="0" fontId="0" fillId="0" borderId="0" xfId="0" applyFont="1" applyBorder="1"/>
    <xf numFmtId="168" fontId="14" fillId="0" borderId="11" xfId="2" applyNumberFormat="1" applyFont="1" applyBorder="1" applyAlignment="1">
      <alignment horizontal="center"/>
    </xf>
    <xf numFmtId="165" fontId="12" fillId="0" borderId="17" xfId="1" applyNumberFormat="1" applyFont="1" applyFill="1" applyBorder="1" applyAlignment="1">
      <alignment vertical="center" wrapText="1"/>
    </xf>
    <xf numFmtId="0" fontId="13" fillId="0" borderId="15" xfId="0" applyFont="1" applyBorder="1" applyAlignment="1">
      <alignment horizontal="center" vertical="center" wrapText="1"/>
    </xf>
    <xf numFmtId="167" fontId="13" fillId="0" borderId="5" xfId="0" applyNumberFormat="1" applyFont="1" applyBorder="1" applyAlignment="1">
      <alignment horizontal="center" vertical="center" wrapText="1"/>
    </xf>
    <xf numFmtId="41" fontId="13" fillId="0" borderId="5" xfId="2" applyFont="1" applyBorder="1" applyAlignment="1">
      <alignment wrapText="1"/>
    </xf>
    <xf numFmtId="168" fontId="13" fillId="0" borderId="5" xfId="0" applyNumberFormat="1" applyFont="1" applyBorder="1" applyAlignment="1">
      <alignment wrapText="1"/>
    </xf>
    <xf numFmtId="41" fontId="14" fillId="0" borderId="5" xfId="2" applyFont="1" applyBorder="1" applyAlignment="1">
      <alignment horizontal="center" vertical="center"/>
    </xf>
    <xf numFmtId="41" fontId="14" fillId="0" borderId="5" xfId="2" applyFont="1" applyBorder="1" applyAlignment="1"/>
    <xf numFmtId="168" fontId="14" fillId="0" borderId="13" xfId="2" applyNumberFormat="1" applyFont="1" applyBorder="1" applyAlignment="1">
      <alignment horizontal="center"/>
    </xf>
    <xf numFmtId="165" fontId="14" fillId="0" borderId="17" xfId="1" applyNumberFormat="1" applyFont="1" applyBorder="1" applyAlignment="1">
      <alignment wrapText="1"/>
    </xf>
    <xf numFmtId="43" fontId="14" fillId="0" borderId="17" xfId="1" applyFont="1" applyBorder="1" applyAlignment="1">
      <alignment horizontal="center" wrapText="1"/>
    </xf>
    <xf numFmtId="43" fontId="14" fillId="0" borderId="17" xfId="1" applyFont="1" applyBorder="1" applyAlignment="1">
      <alignment wrapText="1"/>
    </xf>
    <xf numFmtId="168" fontId="13" fillId="0" borderId="13" xfId="2" applyNumberFormat="1" applyFont="1" applyBorder="1" applyAlignment="1">
      <alignment horizontal="right" vertical="center" wrapText="1"/>
    </xf>
    <xf numFmtId="0" fontId="12" fillId="0" borderId="16" xfId="0" applyFont="1" applyFill="1" applyBorder="1" applyAlignment="1">
      <alignment horizontal="center" vertical="center" wrapText="1"/>
    </xf>
    <xf numFmtId="0" fontId="12" fillId="0" borderId="17" xfId="0" applyFont="1" applyFill="1" applyBorder="1" applyAlignment="1">
      <alignment vertical="center" wrapText="1"/>
    </xf>
    <xf numFmtId="0" fontId="12" fillId="0" borderId="17" xfId="0" applyFont="1" applyFill="1" applyBorder="1" applyAlignment="1">
      <alignment horizontal="center" vertical="center" wrapText="1"/>
    </xf>
    <xf numFmtId="15" fontId="12" fillId="0" borderId="17" xfId="0" applyNumberFormat="1" applyFont="1" applyFill="1" applyBorder="1" applyAlignment="1">
      <alignment horizontal="center" vertical="center" wrapText="1"/>
    </xf>
    <xf numFmtId="43" fontId="12" fillId="0" borderId="17" xfId="1" applyFont="1" applyFill="1" applyBorder="1" applyAlignment="1">
      <alignment vertical="center" wrapText="1"/>
    </xf>
    <xf numFmtId="9" fontId="12" fillId="0" borderId="17" xfId="1" applyNumberFormat="1" applyFont="1" applyFill="1" applyBorder="1" applyAlignment="1">
      <alignment horizontal="center" vertical="center" wrapText="1"/>
    </xf>
    <xf numFmtId="41" fontId="12" fillId="0" borderId="17" xfId="2" applyFont="1" applyFill="1" applyBorder="1" applyAlignment="1">
      <alignment horizontal="center" vertical="center" wrapText="1"/>
    </xf>
    <xf numFmtId="43" fontId="12" fillId="0" borderId="18" xfId="1" applyFont="1" applyFill="1" applyBorder="1" applyAlignment="1">
      <alignment vertical="center" wrapText="1"/>
    </xf>
    <xf numFmtId="41" fontId="13" fillId="0" borderId="17" xfId="0" applyNumberFormat="1" applyFont="1" applyBorder="1" applyAlignment="1">
      <alignment wrapText="1"/>
    </xf>
    <xf numFmtId="168" fontId="13" fillId="0" borderId="17" xfId="0" applyNumberFormat="1" applyFont="1" applyBorder="1" applyAlignment="1">
      <alignment wrapText="1"/>
    </xf>
    <xf numFmtId="41" fontId="13" fillId="0" borderId="17" xfId="2" applyFont="1" applyBorder="1" applyAlignment="1">
      <alignment horizontal="center" vertical="center"/>
    </xf>
    <xf numFmtId="41" fontId="13" fillId="0" borderId="17" xfId="0" applyNumberFormat="1" applyFont="1" applyBorder="1"/>
    <xf numFmtId="168" fontId="13" fillId="0" borderId="18" xfId="0" applyNumberFormat="1" applyFont="1" applyBorder="1" applyAlignment="1">
      <alignment horizontal="center"/>
    </xf>
    <xf numFmtId="164" fontId="12" fillId="0" borderId="13" xfId="0" applyNumberFormat="1" applyFont="1" applyBorder="1" applyAlignment="1">
      <alignment horizontal="center" vertical="center" wrapText="1"/>
    </xf>
    <xf numFmtId="0" fontId="13" fillId="0" borderId="26" xfId="0" applyFont="1" applyBorder="1" applyAlignment="1">
      <alignment vertical="center" wrapText="1"/>
    </xf>
    <xf numFmtId="0" fontId="13" fillId="0" borderId="26" xfId="0" applyFont="1" applyBorder="1" applyAlignment="1">
      <alignment horizontal="center" vertical="center" wrapText="1"/>
    </xf>
    <xf numFmtId="41" fontId="13" fillId="0" borderId="26" xfId="0" applyNumberFormat="1" applyFont="1" applyBorder="1" applyAlignment="1">
      <alignment horizontal="center" vertical="center"/>
    </xf>
    <xf numFmtId="168" fontId="13" fillId="0" borderId="26" xfId="0" applyNumberFormat="1" applyFont="1" applyBorder="1" applyAlignment="1">
      <alignment horizontal="center"/>
    </xf>
    <xf numFmtId="3" fontId="14" fillId="0" borderId="17" xfId="0" applyNumberFormat="1" applyFont="1" applyBorder="1" applyAlignment="1">
      <alignment vertical="center"/>
    </xf>
    <xf numFmtId="43" fontId="4" fillId="0" borderId="17" xfId="1" applyFont="1" applyBorder="1" applyAlignment="1">
      <alignment wrapText="1"/>
    </xf>
    <xf numFmtId="41" fontId="14" fillId="0" borderId="5" xfId="2" applyFont="1" applyBorder="1" applyAlignment="1">
      <alignment horizontal="right" vertical="center" wrapText="1"/>
    </xf>
    <xf numFmtId="0" fontId="16" fillId="0" borderId="19" xfId="0" applyFont="1" applyFill="1" applyBorder="1" applyAlignment="1">
      <alignment horizontal="center" vertical="center" wrapText="1"/>
    </xf>
    <xf numFmtId="0" fontId="16" fillId="0" borderId="20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7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17" fontId="12" fillId="0" borderId="1" xfId="0" applyNumberFormat="1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17" fontId="12" fillId="0" borderId="5" xfId="0" applyNumberFormat="1" applyFont="1" applyFill="1" applyBorder="1" applyAlignment="1">
      <alignment horizontal="center" vertical="center" wrapText="1"/>
    </xf>
    <xf numFmtId="17" fontId="12" fillId="0" borderId="1" xfId="0" applyNumberFormat="1" applyFont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15" fontId="14" fillId="0" borderId="1" xfId="0" applyNumberFormat="1" applyFont="1" applyBorder="1" applyAlignment="1">
      <alignment horizontal="center" vertical="center" wrapText="1"/>
    </xf>
    <xf numFmtId="43" fontId="12" fillId="0" borderId="13" xfId="1" applyFont="1" applyBorder="1" applyAlignment="1">
      <alignment horizontal="center" vertical="center" wrapText="1"/>
    </xf>
    <xf numFmtId="43" fontId="12" fillId="0" borderId="11" xfId="1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41" fontId="12" fillId="0" borderId="1" xfId="2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wrapText="1"/>
    </xf>
    <xf numFmtId="0" fontId="14" fillId="0" borderId="23" xfId="0" applyFont="1" applyBorder="1" applyAlignment="1">
      <alignment horizontal="center" vertical="center" wrapText="1"/>
    </xf>
    <xf numFmtId="0" fontId="14" fillId="0" borderId="5" xfId="0" applyFont="1" applyBorder="1" applyAlignment="1">
      <alignment vertical="center" wrapText="1"/>
    </xf>
    <xf numFmtId="0" fontId="14" fillId="0" borderId="15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15" fontId="14" fillId="0" borderId="5" xfId="0" applyNumberFormat="1" applyFont="1" applyBorder="1" applyAlignment="1">
      <alignment horizontal="center" vertical="center" wrapText="1"/>
    </xf>
    <xf numFmtId="41" fontId="12" fillId="0" borderId="5" xfId="2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  <xf numFmtId="43" fontId="4" fillId="0" borderId="12" xfId="1" applyFont="1" applyBorder="1" applyAlignment="1">
      <alignment horizontal="center" wrapText="1"/>
    </xf>
    <xf numFmtId="43" fontId="4" fillId="0" borderId="13" xfId="1" applyFont="1" applyBorder="1" applyAlignment="1">
      <alignment horizontal="center" wrapText="1"/>
    </xf>
    <xf numFmtId="43" fontId="12" fillId="0" borderId="12" xfId="1" applyFont="1" applyBorder="1" applyAlignment="1">
      <alignment horizontal="center" vertical="center" wrapText="1"/>
    </xf>
    <xf numFmtId="15" fontId="17" fillId="0" borderId="0" xfId="0" applyNumberFormat="1" applyFont="1" applyBorder="1" applyAlignment="1">
      <alignment horizontal="center"/>
    </xf>
    <xf numFmtId="15" fontId="17" fillId="0" borderId="0" xfId="0" applyNumberFormat="1" applyFont="1" applyAlignment="1">
      <alignment horizontal="center"/>
    </xf>
    <xf numFmtId="41" fontId="14" fillId="0" borderId="1" xfId="2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wrapText="1"/>
    </xf>
    <xf numFmtId="0" fontId="14" fillId="0" borderId="10" xfId="0" applyFont="1" applyBorder="1" applyAlignment="1">
      <alignment horizontal="center" wrapText="1"/>
    </xf>
    <xf numFmtId="0" fontId="14" fillId="0" borderId="4" xfId="0" applyFont="1" applyBorder="1" applyAlignment="1">
      <alignment horizontal="left" vertical="center" wrapText="1"/>
    </xf>
    <xf numFmtId="0" fontId="14" fillId="0" borderId="5" xfId="0" applyFont="1" applyBorder="1" applyAlignment="1">
      <alignment horizontal="left" vertical="center" wrapText="1"/>
    </xf>
  </cellXfs>
  <cellStyles count="846">
    <cellStyle name="Hipervínculo" xfId="4" builtinId="8" hidden="1"/>
    <cellStyle name="Hipervínculo" xfId="6" builtinId="8" hidden="1"/>
    <cellStyle name="Hipervínculo" xfId="8" builtinId="8" hidden="1"/>
    <cellStyle name="Hipervínculo" xfId="10" builtinId="8" hidden="1"/>
    <cellStyle name="Hipervínculo" xfId="12" builtinId="8" hidden="1"/>
    <cellStyle name="Hipervínculo" xfId="14" builtinId="8" hidden="1"/>
    <cellStyle name="Hipervínculo" xfId="16" builtinId="8" hidden="1"/>
    <cellStyle name="Hipervínculo" xfId="18" builtinId="8" hidden="1"/>
    <cellStyle name="Hipervínculo" xfId="20" builtinId="8" hidden="1"/>
    <cellStyle name="Hipervínculo" xfId="22" builtinId="8" hidden="1"/>
    <cellStyle name="Hipervínculo" xfId="24" builtinId="8" hidden="1"/>
    <cellStyle name="Hipervínculo" xfId="26" builtinId="8" hidden="1"/>
    <cellStyle name="Hipervínculo" xfId="28" builtinId="8" hidden="1"/>
    <cellStyle name="Hipervínculo" xfId="30" builtinId="8" hidden="1"/>
    <cellStyle name="Hipervínculo" xfId="32" builtinId="8" hidden="1"/>
    <cellStyle name="Hipervínculo" xfId="34" builtinId="8" hidden="1"/>
    <cellStyle name="Hipervínculo" xfId="36" builtinId="8" hidden="1"/>
    <cellStyle name="Hipervínculo" xfId="38" builtinId="8" hidden="1"/>
    <cellStyle name="Hipervínculo" xfId="40" builtinId="8" hidden="1"/>
    <cellStyle name="Hipervínculo" xfId="42" builtinId="8" hidden="1"/>
    <cellStyle name="Hipervínculo" xfId="44" builtinId="8" hidden="1"/>
    <cellStyle name="Hipervínculo" xfId="46" builtinId="8" hidden="1"/>
    <cellStyle name="Hipervínculo" xfId="48" builtinId="8" hidden="1"/>
    <cellStyle name="Hipervínculo" xfId="50" builtinId="8" hidden="1"/>
    <cellStyle name="Hipervínculo" xfId="52" builtinId="8" hidden="1"/>
    <cellStyle name="Hipervínculo" xfId="54" builtinId="8" hidden="1"/>
    <cellStyle name="Hipervínculo" xfId="56" builtinId="8" hidden="1"/>
    <cellStyle name="Hipervínculo" xfId="58" builtinId="8" hidden="1"/>
    <cellStyle name="Hipervínculo" xfId="60" builtinId="8" hidden="1"/>
    <cellStyle name="Hipervínculo" xfId="62" builtinId="8" hidden="1"/>
    <cellStyle name="Hipervínculo" xfId="64" builtinId="8" hidden="1"/>
    <cellStyle name="Hipervínculo" xfId="66" builtinId="8" hidden="1"/>
    <cellStyle name="Hipervínculo" xfId="68" builtinId="8" hidden="1"/>
    <cellStyle name="Hipervínculo" xfId="70" builtinId="8" hidden="1"/>
    <cellStyle name="Hipervínculo" xfId="72" builtinId="8" hidden="1"/>
    <cellStyle name="Hipervínculo" xfId="74" builtinId="8" hidden="1"/>
    <cellStyle name="Hipervínculo" xfId="76" builtinId="8" hidden="1"/>
    <cellStyle name="Hipervínculo" xfId="78" builtinId="8" hidden="1"/>
    <cellStyle name="Hipervínculo" xfId="80" builtinId="8" hidden="1"/>
    <cellStyle name="Hipervínculo" xfId="82" builtinId="8" hidden="1"/>
    <cellStyle name="Hipervínculo" xfId="84" builtinId="8" hidden="1"/>
    <cellStyle name="Hipervínculo" xfId="86" builtinId="8" hidden="1"/>
    <cellStyle name="Hipervínculo" xfId="88" builtinId="8" hidden="1"/>
    <cellStyle name="Hipervínculo" xfId="90" builtinId="8" hidden="1"/>
    <cellStyle name="Hipervínculo" xfId="92" builtinId="8" hidden="1"/>
    <cellStyle name="Hipervínculo" xfId="94" builtinId="8" hidden="1"/>
    <cellStyle name="Hipervínculo" xfId="96" builtinId="8" hidden="1"/>
    <cellStyle name="Hipervínculo" xfId="98" builtinId="8" hidden="1"/>
    <cellStyle name="Hipervínculo" xfId="100" builtinId="8" hidden="1"/>
    <cellStyle name="Hipervínculo" xfId="102" builtinId="8" hidden="1"/>
    <cellStyle name="Hipervínculo" xfId="104" builtinId="8" hidden="1"/>
    <cellStyle name="Hipervínculo" xfId="106" builtinId="8" hidden="1"/>
    <cellStyle name="Hipervínculo" xfId="108" builtinId="8" hidden="1"/>
    <cellStyle name="Hipervínculo" xfId="110" builtinId="8" hidden="1"/>
    <cellStyle name="Hipervínculo" xfId="112" builtinId="8" hidden="1"/>
    <cellStyle name="Hipervínculo" xfId="114" builtinId="8" hidden="1"/>
    <cellStyle name="Hipervínculo" xfId="116" builtinId="8" hidden="1"/>
    <cellStyle name="Hipervínculo" xfId="118" builtinId="8" hidden="1"/>
    <cellStyle name="Hipervínculo" xfId="120" builtinId="8" hidden="1"/>
    <cellStyle name="Hipervínculo" xfId="122" builtinId="8" hidden="1"/>
    <cellStyle name="Hipervínculo" xfId="124" builtinId="8" hidden="1"/>
    <cellStyle name="Hipervínculo" xfId="126" builtinId="8" hidden="1"/>
    <cellStyle name="Hipervínculo" xfId="128" builtinId="8" hidden="1"/>
    <cellStyle name="Hipervínculo" xfId="130" builtinId="8" hidden="1"/>
    <cellStyle name="Hipervínculo" xfId="132" builtinId="8" hidden="1"/>
    <cellStyle name="Hipervínculo" xfId="134" builtinId="8" hidden="1"/>
    <cellStyle name="Hipervínculo" xfId="136" builtinId="8" hidden="1"/>
    <cellStyle name="Hipervínculo" xfId="138" builtinId="8" hidden="1"/>
    <cellStyle name="Hipervínculo" xfId="140" builtinId="8" hidden="1"/>
    <cellStyle name="Hipervínculo" xfId="142" builtinId="8" hidden="1"/>
    <cellStyle name="Hipervínculo" xfId="144" builtinId="8" hidden="1"/>
    <cellStyle name="Hipervínculo" xfId="146" builtinId="8" hidden="1"/>
    <cellStyle name="Hipervínculo" xfId="148" builtinId="8" hidden="1"/>
    <cellStyle name="Hipervínculo" xfId="150" builtinId="8" hidden="1"/>
    <cellStyle name="Hipervínculo" xfId="152" builtinId="8" hidden="1"/>
    <cellStyle name="Hipervínculo" xfId="154" builtinId="8" hidden="1"/>
    <cellStyle name="Hipervínculo" xfId="156" builtinId="8" hidden="1"/>
    <cellStyle name="Hipervínculo" xfId="158" builtinId="8" hidden="1"/>
    <cellStyle name="Hipervínculo" xfId="160" builtinId="8" hidden="1"/>
    <cellStyle name="Hipervínculo" xfId="162" builtinId="8" hidden="1"/>
    <cellStyle name="Hipervínculo" xfId="164" builtinId="8" hidden="1"/>
    <cellStyle name="Hipervínculo" xfId="166" builtinId="8" hidden="1"/>
    <cellStyle name="Hipervínculo" xfId="168" builtinId="8" hidden="1"/>
    <cellStyle name="Hipervínculo" xfId="170" builtinId="8" hidden="1"/>
    <cellStyle name="Hipervínculo" xfId="172" builtinId="8" hidden="1"/>
    <cellStyle name="Hipervínculo" xfId="174" builtinId="8" hidden="1"/>
    <cellStyle name="Hipervínculo" xfId="176" builtinId="8" hidden="1"/>
    <cellStyle name="Hipervínculo" xfId="178" builtinId="8" hidden="1"/>
    <cellStyle name="Hipervínculo" xfId="180" builtinId="8" hidden="1"/>
    <cellStyle name="Hipervínculo" xfId="182" builtinId="8" hidden="1"/>
    <cellStyle name="Hipervínculo" xfId="184" builtinId="8" hidden="1"/>
    <cellStyle name="Hipervínculo" xfId="186" builtinId="8" hidden="1"/>
    <cellStyle name="Hipervínculo" xfId="188" builtinId="8" hidden="1"/>
    <cellStyle name="Hipervínculo" xfId="190" builtinId="8" hidden="1"/>
    <cellStyle name="Hipervínculo" xfId="192" builtinId="8" hidden="1"/>
    <cellStyle name="Hipervínculo" xfId="194" builtinId="8" hidden="1"/>
    <cellStyle name="Hipervínculo" xfId="196" builtinId="8" hidden="1"/>
    <cellStyle name="Hipervínculo" xfId="198" builtinId="8" hidden="1"/>
    <cellStyle name="Hipervínculo" xfId="200" builtinId="8" hidden="1"/>
    <cellStyle name="Hipervínculo" xfId="202" builtinId="8" hidden="1"/>
    <cellStyle name="Hipervínculo" xfId="204" builtinId="8" hidden="1"/>
    <cellStyle name="Hipervínculo" xfId="206" builtinId="8" hidden="1"/>
    <cellStyle name="Hipervínculo" xfId="208" builtinId="8" hidden="1"/>
    <cellStyle name="Hipervínculo" xfId="210" builtinId="8" hidden="1"/>
    <cellStyle name="Hipervínculo" xfId="212" builtinId="8" hidden="1"/>
    <cellStyle name="Hipervínculo" xfId="214" builtinId="8" hidden="1"/>
    <cellStyle name="Hipervínculo" xfId="216" builtinId="8" hidden="1"/>
    <cellStyle name="Hipervínculo" xfId="218" builtinId="8" hidden="1"/>
    <cellStyle name="Hipervínculo" xfId="220" builtinId="8" hidden="1"/>
    <cellStyle name="Hipervínculo" xfId="222" builtinId="8" hidden="1"/>
    <cellStyle name="Hipervínculo" xfId="224" builtinId="8" hidden="1"/>
    <cellStyle name="Hipervínculo" xfId="226" builtinId="8" hidden="1"/>
    <cellStyle name="Hipervínculo" xfId="228" builtinId="8" hidden="1"/>
    <cellStyle name="Hipervínculo" xfId="230" builtinId="8" hidden="1"/>
    <cellStyle name="Hipervínculo" xfId="232" builtinId="8" hidden="1"/>
    <cellStyle name="Hipervínculo" xfId="234" builtinId="8" hidden="1"/>
    <cellStyle name="Hipervínculo" xfId="236" builtinId="8" hidden="1"/>
    <cellStyle name="Hipervínculo" xfId="238" builtinId="8" hidden="1"/>
    <cellStyle name="Hipervínculo" xfId="240" builtinId="8" hidden="1"/>
    <cellStyle name="Hipervínculo" xfId="242" builtinId="8" hidden="1"/>
    <cellStyle name="Hipervínculo" xfId="244" builtinId="8" hidden="1"/>
    <cellStyle name="Hipervínculo" xfId="246" builtinId="8" hidden="1"/>
    <cellStyle name="Hipervínculo" xfId="248" builtinId="8" hidden="1"/>
    <cellStyle name="Hipervínculo" xfId="250" builtinId="8" hidden="1"/>
    <cellStyle name="Hipervínculo" xfId="252" builtinId="8" hidden="1"/>
    <cellStyle name="Hipervínculo" xfId="254" builtinId="8" hidden="1"/>
    <cellStyle name="Hipervínculo" xfId="256" builtinId="8" hidden="1"/>
    <cellStyle name="Hipervínculo" xfId="258" builtinId="8" hidden="1"/>
    <cellStyle name="Hipervínculo" xfId="260" builtinId="8" hidden="1"/>
    <cellStyle name="Hipervínculo" xfId="262" builtinId="8" hidden="1"/>
    <cellStyle name="Hipervínculo" xfId="264" builtinId="8" hidden="1"/>
    <cellStyle name="Hipervínculo" xfId="266" builtinId="8" hidden="1"/>
    <cellStyle name="Hipervínculo" xfId="268" builtinId="8" hidden="1"/>
    <cellStyle name="Hipervínculo" xfId="270" builtinId="8" hidden="1"/>
    <cellStyle name="Hipervínculo" xfId="272" builtinId="8" hidden="1"/>
    <cellStyle name="Hipervínculo" xfId="274" builtinId="8" hidden="1"/>
    <cellStyle name="Hipervínculo" xfId="276" builtinId="8" hidden="1"/>
    <cellStyle name="Hipervínculo" xfId="278" builtinId="8" hidden="1"/>
    <cellStyle name="Hipervínculo" xfId="280" builtinId="8" hidden="1"/>
    <cellStyle name="Hipervínculo" xfId="282" builtinId="8" hidden="1"/>
    <cellStyle name="Hipervínculo" xfId="284" builtinId="8" hidden="1"/>
    <cellStyle name="Hipervínculo" xfId="286" builtinId="8" hidden="1"/>
    <cellStyle name="Hipervínculo" xfId="288" builtinId="8" hidden="1"/>
    <cellStyle name="Hipervínculo" xfId="290" builtinId="8" hidden="1"/>
    <cellStyle name="Hipervínculo" xfId="292" builtinId="8" hidden="1"/>
    <cellStyle name="Hipervínculo" xfId="294" builtinId="8" hidden="1"/>
    <cellStyle name="Hipervínculo" xfId="296" builtinId="8" hidden="1"/>
    <cellStyle name="Hipervínculo" xfId="298" builtinId="8" hidden="1"/>
    <cellStyle name="Hipervínculo" xfId="300" builtinId="8" hidden="1"/>
    <cellStyle name="Hipervínculo" xfId="302" builtinId="8" hidden="1"/>
    <cellStyle name="Hipervínculo" xfId="304" builtinId="8" hidden="1"/>
    <cellStyle name="Hipervínculo" xfId="306" builtinId="8" hidden="1"/>
    <cellStyle name="Hipervínculo" xfId="308" builtinId="8" hidden="1"/>
    <cellStyle name="Hipervínculo" xfId="310" builtinId="8" hidden="1"/>
    <cellStyle name="Hipervínculo" xfId="312" builtinId="8" hidden="1"/>
    <cellStyle name="Hipervínculo" xfId="314" builtinId="8" hidden="1"/>
    <cellStyle name="Hipervínculo" xfId="316" builtinId="8" hidden="1"/>
    <cellStyle name="Hipervínculo" xfId="318" builtinId="8" hidden="1"/>
    <cellStyle name="Hipervínculo" xfId="320" builtinId="8" hidden="1"/>
    <cellStyle name="Hipervínculo" xfId="322" builtinId="8" hidden="1"/>
    <cellStyle name="Hipervínculo" xfId="324" builtinId="8" hidden="1"/>
    <cellStyle name="Hipervínculo" xfId="326" builtinId="8" hidden="1"/>
    <cellStyle name="Hipervínculo" xfId="328" builtinId="8" hidden="1"/>
    <cellStyle name="Hipervínculo" xfId="330" builtinId="8" hidden="1"/>
    <cellStyle name="Hipervínculo" xfId="332" builtinId="8" hidden="1"/>
    <cellStyle name="Hipervínculo" xfId="334" builtinId="8" hidden="1"/>
    <cellStyle name="Hipervínculo" xfId="336" builtinId="8" hidden="1"/>
    <cellStyle name="Hipervínculo" xfId="338" builtinId="8" hidden="1"/>
    <cellStyle name="Hipervínculo" xfId="340" builtinId="8" hidden="1"/>
    <cellStyle name="Hipervínculo" xfId="342" builtinId="8" hidden="1"/>
    <cellStyle name="Hipervínculo" xfId="344" builtinId="8" hidden="1"/>
    <cellStyle name="Hipervínculo" xfId="346" builtinId="8" hidden="1"/>
    <cellStyle name="Hipervínculo" xfId="348" builtinId="8" hidden="1"/>
    <cellStyle name="Hipervínculo" xfId="350" builtinId="8" hidden="1"/>
    <cellStyle name="Hipervínculo" xfId="352" builtinId="8" hidden="1"/>
    <cellStyle name="Hipervínculo" xfId="354" builtinId="8" hidden="1"/>
    <cellStyle name="Hipervínculo" xfId="356" builtinId="8" hidden="1"/>
    <cellStyle name="Hipervínculo" xfId="358" builtinId="8" hidden="1"/>
    <cellStyle name="Hipervínculo" xfId="360" builtinId="8" hidden="1"/>
    <cellStyle name="Hipervínculo" xfId="362" builtinId="8" hidden="1"/>
    <cellStyle name="Hipervínculo" xfId="364" builtinId="8" hidden="1"/>
    <cellStyle name="Hipervínculo" xfId="366" builtinId="8" hidden="1"/>
    <cellStyle name="Hipervínculo" xfId="368" builtinId="8" hidden="1"/>
    <cellStyle name="Hipervínculo" xfId="370" builtinId="8" hidden="1"/>
    <cellStyle name="Hipervínculo" xfId="372" builtinId="8" hidden="1"/>
    <cellStyle name="Hipervínculo" xfId="374" builtinId="8" hidden="1"/>
    <cellStyle name="Hipervínculo" xfId="376" builtinId="8" hidden="1"/>
    <cellStyle name="Hipervínculo" xfId="378" builtinId="8" hidden="1"/>
    <cellStyle name="Hipervínculo" xfId="380" builtinId="8" hidden="1"/>
    <cellStyle name="Hipervínculo" xfId="382" builtinId="8" hidden="1"/>
    <cellStyle name="Hipervínculo" xfId="384" builtinId="8" hidden="1"/>
    <cellStyle name="Hipervínculo" xfId="386" builtinId="8" hidden="1"/>
    <cellStyle name="Hipervínculo" xfId="388" builtinId="8" hidden="1"/>
    <cellStyle name="Hipervínculo" xfId="390" builtinId="8" hidden="1"/>
    <cellStyle name="Hipervínculo" xfId="392" builtinId="8" hidden="1"/>
    <cellStyle name="Hipervínculo" xfId="394" builtinId="8" hidden="1"/>
    <cellStyle name="Hipervínculo" xfId="396" builtinId="8" hidden="1"/>
    <cellStyle name="Hipervínculo" xfId="398" builtinId="8" hidden="1"/>
    <cellStyle name="Hipervínculo" xfId="400" builtinId="8" hidden="1"/>
    <cellStyle name="Hipervínculo" xfId="402" builtinId="8" hidden="1"/>
    <cellStyle name="Hipervínculo" xfId="404" builtinId="8" hidden="1"/>
    <cellStyle name="Hipervínculo" xfId="406" builtinId="8" hidden="1"/>
    <cellStyle name="Hipervínculo" xfId="408" builtinId="8" hidden="1"/>
    <cellStyle name="Hipervínculo" xfId="410" builtinId="8" hidden="1"/>
    <cellStyle name="Hipervínculo" xfId="412" builtinId="8" hidden="1"/>
    <cellStyle name="Hipervínculo" xfId="414" builtinId="8" hidden="1"/>
    <cellStyle name="Hipervínculo" xfId="416" builtinId="8" hidden="1"/>
    <cellStyle name="Hipervínculo" xfId="418" builtinId="8" hidden="1"/>
    <cellStyle name="Hipervínculo" xfId="420" builtinId="8" hidden="1"/>
    <cellStyle name="Hipervínculo" xfId="422" builtinId="8" hidden="1"/>
    <cellStyle name="Hipervínculo" xfId="424" builtinId="8" hidden="1"/>
    <cellStyle name="Hipervínculo" xfId="426" builtinId="8" hidden="1"/>
    <cellStyle name="Hipervínculo" xfId="428" builtinId="8" hidden="1"/>
    <cellStyle name="Hipervínculo" xfId="430" builtinId="8" hidden="1"/>
    <cellStyle name="Hipervínculo" xfId="432" builtinId="8" hidden="1"/>
    <cellStyle name="Hipervínculo" xfId="434" builtinId="8" hidden="1"/>
    <cellStyle name="Hipervínculo" xfId="436" builtinId="8" hidden="1"/>
    <cellStyle name="Hipervínculo" xfId="438" builtinId="8" hidden="1"/>
    <cellStyle name="Hipervínculo" xfId="440" builtinId="8" hidden="1"/>
    <cellStyle name="Hipervínculo" xfId="442" builtinId="8" hidden="1"/>
    <cellStyle name="Hipervínculo" xfId="444" builtinId="8" hidden="1"/>
    <cellStyle name="Hipervínculo" xfId="446" builtinId="8" hidden="1"/>
    <cellStyle name="Hipervínculo" xfId="448" builtinId="8" hidden="1"/>
    <cellStyle name="Hipervínculo" xfId="450" builtinId="8" hidden="1"/>
    <cellStyle name="Hipervínculo" xfId="452" builtinId="8" hidden="1"/>
    <cellStyle name="Hipervínculo" xfId="454" builtinId="8" hidden="1"/>
    <cellStyle name="Hipervínculo" xfId="456" builtinId="8" hidden="1"/>
    <cellStyle name="Hipervínculo" xfId="458" builtinId="8" hidden="1"/>
    <cellStyle name="Hipervínculo" xfId="460" builtinId="8" hidden="1"/>
    <cellStyle name="Hipervínculo" xfId="462" builtinId="8" hidden="1"/>
    <cellStyle name="Hipervínculo" xfId="464" builtinId="8" hidden="1"/>
    <cellStyle name="Hipervínculo" xfId="466" builtinId="8" hidden="1"/>
    <cellStyle name="Hipervínculo" xfId="468" builtinId="8" hidden="1"/>
    <cellStyle name="Hipervínculo" xfId="470" builtinId="8" hidden="1"/>
    <cellStyle name="Hipervínculo" xfId="472" builtinId="8" hidden="1"/>
    <cellStyle name="Hipervínculo" xfId="474" builtinId="8" hidden="1"/>
    <cellStyle name="Hipervínculo" xfId="476" builtinId="8" hidden="1"/>
    <cellStyle name="Hipervínculo" xfId="478" builtinId="8" hidden="1"/>
    <cellStyle name="Hipervínculo" xfId="480" builtinId="8" hidden="1"/>
    <cellStyle name="Hipervínculo" xfId="482" builtinId="8" hidden="1"/>
    <cellStyle name="Hipervínculo" xfId="484" builtinId="8" hidden="1"/>
    <cellStyle name="Hipervínculo" xfId="486" builtinId="8" hidden="1"/>
    <cellStyle name="Hipervínculo" xfId="488" builtinId="8" hidden="1"/>
    <cellStyle name="Hipervínculo" xfId="490" builtinId="8" hidden="1"/>
    <cellStyle name="Hipervínculo" xfId="492" builtinId="8" hidden="1"/>
    <cellStyle name="Hipervínculo" xfId="494" builtinId="8" hidden="1"/>
    <cellStyle name="Hipervínculo" xfId="496" builtinId="8" hidden="1"/>
    <cellStyle name="Hipervínculo" xfId="498" builtinId="8" hidden="1"/>
    <cellStyle name="Hipervínculo" xfId="500" builtinId="8" hidden="1"/>
    <cellStyle name="Hipervínculo" xfId="502" builtinId="8" hidden="1"/>
    <cellStyle name="Hipervínculo" xfId="504" builtinId="8" hidden="1"/>
    <cellStyle name="Hipervínculo" xfId="506" builtinId="8" hidden="1"/>
    <cellStyle name="Hipervínculo" xfId="508" builtinId="8" hidden="1"/>
    <cellStyle name="Hipervínculo" xfId="510" builtinId="8" hidden="1"/>
    <cellStyle name="Hipervínculo" xfId="512" builtinId="8" hidden="1"/>
    <cellStyle name="Hipervínculo" xfId="514" builtinId="8" hidden="1"/>
    <cellStyle name="Hipervínculo" xfId="516" builtinId="8" hidden="1"/>
    <cellStyle name="Hipervínculo" xfId="518" builtinId="8" hidden="1"/>
    <cellStyle name="Hipervínculo" xfId="520" builtinId="8" hidden="1"/>
    <cellStyle name="Hipervínculo" xfId="522" builtinId="8" hidden="1"/>
    <cellStyle name="Hipervínculo" xfId="524" builtinId="8" hidden="1"/>
    <cellStyle name="Hipervínculo" xfId="526" builtinId="8" hidden="1"/>
    <cellStyle name="Hipervínculo" xfId="528" builtinId="8" hidden="1"/>
    <cellStyle name="Hipervínculo" xfId="530" builtinId="8" hidden="1"/>
    <cellStyle name="Hipervínculo" xfId="532" builtinId="8" hidden="1"/>
    <cellStyle name="Hipervínculo" xfId="534" builtinId="8" hidden="1"/>
    <cellStyle name="Hipervínculo" xfId="536" builtinId="8" hidden="1"/>
    <cellStyle name="Hipervínculo" xfId="538" builtinId="8" hidden="1"/>
    <cellStyle name="Hipervínculo" xfId="540" builtinId="8" hidden="1"/>
    <cellStyle name="Hipervínculo" xfId="542" builtinId="8" hidden="1"/>
    <cellStyle name="Hipervínculo" xfId="544" builtinId="8" hidden="1"/>
    <cellStyle name="Hipervínculo" xfId="546" builtinId="8" hidden="1"/>
    <cellStyle name="Hipervínculo" xfId="548" builtinId="8" hidden="1"/>
    <cellStyle name="Hipervínculo" xfId="550" builtinId="8" hidden="1"/>
    <cellStyle name="Hipervínculo" xfId="552" builtinId="8" hidden="1"/>
    <cellStyle name="Hipervínculo" xfId="554" builtinId="8" hidden="1"/>
    <cellStyle name="Hipervínculo" xfId="556" builtinId="8" hidden="1"/>
    <cellStyle name="Hipervínculo" xfId="558" builtinId="8" hidden="1"/>
    <cellStyle name="Hipervínculo" xfId="560" builtinId="8" hidden="1"/>
    <cellStyle name="Hipervínculo" xfId="562" builtinId="8" hidden="1"/>
    <cellStyle name="Hipervínculo" xfId="564" builtinId="8" hidden="1"/>
    <cellStyle name="Hipervínculo" xfId="566" builtinId="8" hidden="1"/>
    <cellStyle name="Hipervínculo" xfId="568" builtinId="8" hidden="1"/>
    <cellStyle name="Hipervínculo" xfId="570" builtinId="8" hidden="1"/>
    <cellStyle name="Hipervínculo" xfId="572" builtinId="8" hidden="1"/>
    <cellStyle name="Hipervínculo" xfId="574" builtinId="8" hidden="1"/>
    <cellStyle name="Hipervínculo" xfId="576" builtinId="8" hidden="1"/>
    <cellStyle name="Hipervínculo" xfId="578" builtinId="8" hidden="1"/>
    <cellStyle name="Hipervínculo" xfId="580" builtinId="8" hidden="1"/>
    <cellStyle name="Hipervínculo" xfId="582" builtinId="8" hidden="1"/>
    <cellStyle name="Hipervínculo" xfId="584" builtinId="8" hidden="1"/>
    <cellStyle name="Hipervínculo" xfId="586" builtinId="8" hidden="1"/>
    <cellStyle name="Hipervínculo" xfId="588" builtinId="8" hidden="1"/>
    <cellStyle name="Hipervínculo" xfId="590" builtinId="8" hidden="1"/>
    <cellStyle name="Hipervínculo" xfId="592" builtinId="8" hidden="1"/>
    <cellStyle name="Hipervínculo" xfId="594" builtinId="8" hidden="1"/>
    <cellStyle name="Hipervínculo" xfId="596" builtinId="8" hidden="1"/>
    <cellStyle name="Hipervínculo" xfId="598" builtinId="8" hidden="1"/>
    <cellStyle name="Hipervínculo" xfId="600" builtinId="8" hidden="1"/>
    <cellStyle name="Hipervínculo" xfId="602" builtinId="8" hidden="1"/>
    <cellStyle name="Hipervínculo" xfId="604" builtinId="8" hidden="1"/>
    <cellStyle name="Hipervínculo" xfId="606" builtinId="8" hidden="1"/>
    <cellStyle name="Hipervínculo" xfId="608" builtinId="8" hidden="1"/>
    <cellStyle name="Hipervínculo" xfId="610" builtinId="8" hidden="1"/>
    <cellStyle name="Hipervínculo" xfId="612" builtinId="8" hidden="1"/>
    <cellStyle name="Hipervínculo" xfId="614" builtinId="8" hidden="1"/>
    <cellStyle name="Hipervínculo" xfId="616" builtinId="8" hidden="1"/>
    <cellStyle name="Hipervínculo" xfId="618" builtinId="8" hidden="1"/>
    <cellStyle name="Hipervínculo" xfId="620" builtinId="8" hidden="1"/>
    <cellStyle name="Hipervínculo" xfId="622" builtinId="8" hidden="1"/>
    <cellStyle name="Hipervínculo" xfId="624" builtinId="8" hidden="1"/>
    <cellStyle name="Hipervínculo" xfId="626" builtinId="8" hidden="1"/>
    <cellStyle name="Hipervínculo" xfId="628" builtinId="8" hidden="1"/>
    <cellStyle name="Hipervínculo" xfId="630" builtinId="8" hidden="1"/>
    <cellStyle name="Hipervínculo" xfId="632" builtinId="8" hidden="1"/>
    <cellStyle name="Hipervínculo" xfId="634" builtinId="8" hidden="1"/>
    <cellStyle name="Hipervínculo" xfId="636" builtinId="8" hidden="1"/>
    <cellStyle name="Hipervínculo" xfId="638" builtinId="8" hidden="1"/>
    <cellStyle name="Hipervínculo" xfId="640" builtinId="8" hidden="1"/>
    <cellStyle name="Hipervínculo" xfId="642" builtinId="8" hidden="1"/>
    <cellStyle name="Hipervínculo" xfId="644" builtinId="8" hidden="1"/>
    <cellStyle name="Hipervínculo" xfId="646" builtinId="8" hidden="1"/>
    <cellStyle name="Hipervínculo" xfId="648" builtinId="8" hidden="1"/>
    <cellStyle name="Hipervínculo" xfId="650" builtinId="8" hidden="1"/>
    <cellStyle name="Hipervínculo" xfId="652" builtinId="8" hidden="1"/>
    <cellStyle name="Hipervínculo" xfId="654" builtinId="8" hidden="1"/>
    <cellStyle name="Hipervínculo" xfId="656" builtinId="8" hidden="1"/>
    <cellStyle name="Hipervínculo" xfId="658" builtinId="8" hidden="1"/>
    <cellStyle name="Hipervínculo" xfId="660" builtinId="8" hidden="1"/>
    <cellStyle name="Hipervínculo" xfId="662" builtinId="8" hidden="1"/>
    <cellStyle name="Hipervínculo" xfId="664" builtinId="8" hidden="1"/>
    <cellStyle name="Hipervínculo" xfId="666" builtinId="8" hidden="1"/>
    <cellStyle name="Hipervínculo" xfId="668" builtinId="8" hidden="1"/>
    <cellStyle name="Hipervínculo" xfId="670" builtinId="8" hidden="1"/>
    <cellStyle name="Hipervínculo" xfId="672" builtinId="8" hidden="1"/>
    <cellStyle name="Hipervínculo" xfId="674" builtinId="8" hidden="1"/>
    <cellStyle name="Hipervínculo" xfId="676" builtinId="8" hidden="1"/>
    <cellStyle name="Hipervínculo" xfId="678" builtinId="8" hidden="1"/>
    <cellStyle name="Hipervínculo" xfId="680" builtinId="8" hidden="1"/>
    <cellStyle name="Hipervínculo" xfId="682" builtinId="8" hidden="1"/>
    <cellStyle name="Hipervínculo" xfId="684" builtinId="8" hidden="1"/>
    <cellStyle name="Hipervínculo" xfId="686" builtinId="8" hidden="1"/>
    <cellStyle name="Hipervínculo" xfId="688" builtinId="8" hidden="1"/>
    <cellStyle name="Hipervínculo" xfId="690" builtinId="8" hidden="1"/>
    <cellStyle name="Hipervínculo" xfId="692" builtinId="8" hidden="1"/>
    <cellStyle name="Hipervínculo" xfId="694" builtinId="8" hidden="1"/>
    <cellStyle name="Hipervínculo" xfId="696" builtinId="8" hidden="1"/>
    <cellStyle name="Hipervínculo" xfId="698" builtinId="8" hidden="1"/>
    <cellStyle name="Hipervínculo" xfId="700" builtinId="8" hidden="1"/>
    <cellStyle name="Hipervínculo" xfId="702" builtinId="8" hidden="1"/>
    <cellStyle name="Hipervínculo" xfId="704" builtinId="8" hidden="1"/>
    <cellStyle name="Hipervínculo" xfId="706" builtinId="8" hidden="1"/>
    <cellStyle name="Hipervínculo" xfId="708" builtinId="8" hidden="1"/>
    <cellStyle name="Hipervínculo" xfId="710" builtinId="8" hidden="1"/>
    <cellStyle name="Hipervínculo" xfId="712" builtinId="8" hidden="1"/>
    <cellStyle name="Hipervínculo" xfId="714" builtinId="8" hidden="1"/>
    <cellStyle name="Hipervínculo" xfId="716" builtinId="8" hidden="1"/>
    <cellStyle name="Hipervínculo" xfId="718" builtinId="8" hidden="1"/>
    <cellStyle name="Hipervínculo" xfId="720" builtinId="8" hidden="1"/>
    <cellStyle name="Hipervínculo" xfId="722" builtinId="8" hidden="1"/>
    <cellStyle name="Hipervínculo" xfId="724" builtinId="8" hidden="1"/>
    <cellStyle name="Hipervínculo" xfId="726" builtinId="8" hidden="1"/>
    <cellStyle name="Hipervínculo" xfId="728" builtinId="8" hidden="1"/>
    <cellStyle name="Hipervínculo" xfId="730" builtinId="8" hidden="1"/>
    <cellStyle name="Hipervínculo" xfId="732" builtinId="8" hidden="1"/>
    <cellStyle name="Hipervínculo" xfId="734" builtinId="8" hidden="1"/>
    <cellStyle name="Hipervínculo" xfId="736" builtinId="8" hidden="1"/>
    <cellStyle name="Hipervínculo" xfId="738" builtinId="8" hidden="1"/>
    <cellStyle name="Hipervínculo" xfId="740" builtinId="8" hidden="1"/>
    <cellStyle name="Hipervínculo" xfId="742" builtinId="8" hidden="1"/>
    <cellStyle name="Hipervínculo" xfId="744" builtinId="8" hidden="1"/>
    <cellStyle name="Hipervínculo" xfId="746" builtinId="8" hidden="1"/>
    <cellStyle name="Hipervínculo" xfId="748" builtinId="8" hidden="1"/>
    <cellStyle name="Hipervínculo" xfId="750" builtinId="8" hidden="1"/>
    <cellStyle name="Hipervínculo" xfId="752" builtinId="8" hidden="1"/>
    <cellStyle name="Hipervínculo" xfId="754" builtinId="8" hidden="1"/>
    <cellStyle name="Hipervínculo" xfId="756" builtinId="8" hidden="1"/>
    <cellStyle name="Hipervínculo" xfId="758" builtinId="8" hidden="1"/>
    <cellStyle name="Hipervínculo" xfId="760" builtinId="8" hidden="1"/>
    <cellStyle name="Hipervínculo" xfId="762" builtinId="8" hidden="1"/>
    <cellStyle name="Hipervínculo" xfId="764" builtinId="8" hidden="1"/>
    <cellStyle name="Hipervínculo" xfId="766" builtinId="8" hidden="1"/>
    <cellStyle name="Hipervínculo" xfId="768" builtinId="8" hidden="1"/>
    <cellStyle name="Hipervínculo" xfId="770" builtinId="8" hidden="1"/>
    <cellStyle name="Hipervínculo" xfId="772" builtinId="8" hidden="1"/>
    <cellStyle name="Hipervínculo" xfId="774" builtinId="8" hidden="1"/>
    <cellStyle name="Hipervínculo" xfId="776" builtinId="8" hidden="1"/>
    <cellStyle name="Hipervínculo" xfId="778" builtinId="8" hidden="1"/>
    <cellStyle name="Hipervínculo" xfId="780" builtinId="8" hidden="1"/>
    <cellStyle name="Hipervínculo" xfId="782" builtinId="8" hidden="1"/>
    <cellStyle name="Hipervínculo" xfId="784" builtinId="8" hidden="1"/>
    <cellStyle name="Hipervínculo" xfId="786" builtinId="8" hidden="1"/>
    <cellStyle name="Hipervínculo" xfId="788" builtinId="8" hidden="1"/>
    <cellStyle name="Hipervínculo" xfId="790" builtinId="8" hidden="1"/>
    <cellStyle name="Hipervínculo" xfId="792" builtinId="8" hidden="1"/>
    <cellStyle name="Hipervínculo" xfId="794" builtinId="8" hidden="1"/>
    <cellStyle name="Hipervínculo" xfId="796" builtinId="8" hidden="1"/>
    <cellStyle name="Hipervínculo" xfId="798" builtinId="8" hidden="1"/>
    <cellStyle name="Hipervínculo" xfId="800" builtinId="8" hidden="1"/>
    <cellStyle name="Hipervínculo" xfId="802" builtinId="8" hidden="1"/>
    <cellStyle name="Hipervínculo" xfId="804" builtinId="8" hidden="1"/>
    <cellStyle name="Hipervínculo" xfId="806" builtinId="8" hidden="1"/>
    <cellStyle name="Hipervínculo" xfId="808" builtinId="8" hidden="1"/>
    <cellStyle name="Hipervínculo" xfId="810" builtinId="8" hidden="1"/>
    <cellStyle name="Hipervínculo" xfId="812" builtinId="8" hidden="1"/>
    <cellStyle name="Hipervínculo" xfId="814" builtinId="8" hidden="1"/>
    <cellStyle name="Hipervínculo" xfId="816" builtinId="8" hidden="1"/>
    <cellStyle name="Hipervínculo" xfId="818" builtinId="8" hidden="1"/>
    <cellStyle name="Hipervínculo" xfId="820" builtinId="8" hidden="1"/>
    <cellStyle name="Hipervínculo" xfId="822" builtinId="8" hidden="1"/>
    <cellStyle name="Hipervínculo" xfId="824" builtinId="8" hidden="1"/>
    <cellStyle name="Hipervínculo" xfId="826" builtinId="8" hidden="1"/>
    <cellStyle name="Hipervínculo" xfId="828" builtinId="8" hidden="1"/>
    <cellStyle name="Hipervínculo" xfId="830" builtinId="8" hidden="1"/>
    <cellStyle name="Hipervínculo" xfId="832" builtinId="8" hidden="1"/>
    <cellStyle name="Hipervínculo" xfId="834" builtinId="8" hidden="1"/>
    <cellStyle name="Hipervínculo" xfId="836" builtinId="8" hidden="1"/>
    <cellStyle name="Hipervínculo" xfId="838" builtinId="8" hidden="1"/>
    <cellStyle name="Hipervínculo" xfId="840" builtinId="8" hidden="1"/>
    <cellStyle name="Hipervínculo" xfId="842" builtinId="8" hidden="1"/>
    <cellStyle name="Hipervínculo" xfId="844" builtinId="8" hidden="1"/>
    <cellStyle name="Hipervínculo visitado" xfId="5" builtinId="9" hidden="1"/>
    <cellStyle name="Hipervínculo visitado" xfId="7" builtinId="9" hidden="1"/>
    <cellStyle name="Hipervínculo visitado" xfId="9" builtinId="9" hidden="1"/>
    <cellStyle name="Hipervínculo visitado" xfId="11" builtinId="9" hidden="1"/>
    <cellStyle name="Hipervínculo visitado" xfId="13" builtinId="9" hidden="1"/>
    <cellStyle name="Hipervínculo visitado" xfId="15" builtinId="9" hidden="1"/>
    <cellStyle name="Hipervínculo visitado" xfId="17" builtinId="9" hidden="1"/>
    <cellStyle name="Hipervínculo visitado" xfId="19" builtinId="9" hidden="1"/>
    <cellStyle name="Hipervínculo visitado" xfId="21" builtinId="9" hidden="1"/>
    <cellStyle name="Hipervínculo visitado" xfId="23" builtinId="9" hidden="1"/>
    <cellStyle name="Hipervínculo visitado" xfId="25" builtinId="9" hidden="1"/>
    <cellStyle name="Hipervínculo visitado" xfId="27" builtinId="9" hidden="1"/>
    <cellStyle name="Hipervínculo visitado" xfId="29" builtinId="9" hidden="1"/>
    <cellStyle name="Hipervínculo visitado" xfId="31" builtinId="9" hidden="1"/>
    <cellStyle name="Hipervínculo visitado" xfId="33" builtinId="9" hidden="1"/>
    <cellStyle name="Hipervínculo visitado" xfId="35" builtinId="9" hidden="1"/>
    <cellStyle name="Hipervínculo visitado" xfId="37" builtinId="9" hidden="1"/>
    <cellStyle name="Hipervínculo visitado" xfId="39" builtinId="9" hidden="1"/>
    <cellStyle name="Hipervínculo visitado" xfId="41" builtinId="9" hidden="1"/>
    <cellStyle name="Hipervínculo visitado" xfId="43" builtinId="9" hidden="1"/>
    <cellStyle name="Hipervínculo visitado" xfId="45" builtinId="9" hidden="1"/>
    <cellStyle name="Hipervínculo visitado" xfId="47" builtinId="9" hidden="1"/>
    <cellStyle name="Hipervínculo visitado" xfId="49" builtinId="9" hidden="1"/>
    <cellStyle name="Hipervínculo visitado" xfId="51" builtinId="9" hidden="1"/>
    <cellStyle name="Hipervínculo visitado" xfId="53" builtinId="9" hidden="1"/>
    <cellStyle name="Hipervínculo visitado" xfId="55" builtinId="9" hidden="1"/>
    <cellStyle name="Hipervínculo visitado" xfId="57" builtinId="9" hidden="1"/>
    <cellStyle name="Hipervínculo visitado" xfId="59" builtinId="9" hidden="1"/>
    <cellStyle name="Hipervínculo visitado" xfId="61" builtinId="9" hidden="1"/>
    <cellStyle name="Hipervínculo visitado" xfId="63" builtinId="9" hidden="1"/>
    <cellStyle name="Hipervínculo visitado" xfId="65" builtinId="9" hidden="1"/>
    <cellStyle name="Hipervínculo visitado" xfId="67" builtinId="9" hidden="1"/>
    <cellStyle name="Hipervínculo visitado" xfId="69" builtinId="9" hidden="1"/>
    <cellStyle name="Hipervínculo visitado" xfId="71" builtinId="9" hidden="1"/>
    <cellStyle name="Hipervínculo visitado" xfId="73" builtinId="9" hidden="1"/>
    <cellStyle name="Hipervínculo visitado" xfId="75" builtinId="9" hidden="1"/>
    <cellStyle name="Hipervínculo visitado" xfId="77" builtinId="9" hidden="1"/>
    <cellStyle name="Hipervínculo visitado" xfId="79" builtinId="9" hidden="1"/>
    <cellStyle name="Hipervínculo visitado" xfId="81" builtinId="9" hidden="1"/>
    <cellStyle name="Hipervínculo visitado" xfId="83" builtinId="9" hidden="1"/>
    <cellStyle name="Hipervínculo visitado" xfId="85" builtinId="9" hidden="1"/>
    <cellStyle name="Hipervínculo visitado" xfId="87" builtinId="9" hidden="1"/>
    <cellStyle name="Hipervínculo visitado" xfId="89" builtinId="9" hidden="1"/>
    <cellStyle name="Hipervínculo visitado" xfId="91" builtinId="9" hidden="1"/>
    <cellStyle name="Hipervínculo visitado" xfId="93" builtinId="9" hidden="1"/>
    <cellStyle name="Hipervínculo visitado" xfId="95" builtinId="9" hidden="1"/>
    <cellStyle name="Hipervínculo visitado" xfId="97" builtinId="9" hidden="1"/>
    <cellStyle name="Hipervínculo visitado" xfId="99" builtinId="9" hidden="1"/>
    <cellStyle name="Hipervínculo visitado" xfId="101" builtinId="9" hidden="1"/>
    <cellStyle name="Hipervínculo visitado" xfId="103" builtinId="9" hidden="1"/>
    <cellStyle name="Hipervínculo visitado" xfId="105" builtinId="9" hidden="1"/>
    <cellStyle name="Hipervínculo visitado" xfId="107" builtinId="9" hidden="1"/>
    <cellStyle name="Hipervínculo visitado" xfId="109" builtinId="9" hidden="1"/>
    <cellStyle name="Hipervínculo visitado" xfId="111" builtinId="9" hidden="1"/>
    <cellStyle name="Hipervínculo visitado" xfId="113" builtinId="9" hidden="1"/>
    <cellStyle name="Hipervínculo visitado" xfId="115" builtinId="9" hidden="1"/>
    <cellStyle name="Hipervínculo visitado" xfId="117" builtinId="9" hidden="1"/>
    <cellStyle name="Hipervínculo visitado" xfId="119" builtinId="9" hidden="1"/>
    <cellStyle name="Hipervínculo visitado" xfId="121" builtinId="9" hidden="1"/>
    <cellStyle name="Hipervínculo visitado" xfId="123" builtinId="9" hidden="1"/>
    <cellStyle name="Hipervínculo visitado" xfId="125" builtinId="9" hidden="1"/>
    <cellStyle name="Hipervínculo visitado" xfId="127" builtinId="9" hidden="1"/>
    <cellStyle name="Hipervínculo visitado" xfId="129" builtinId="9" hidden="1"/>
    <cellStyle name="Hipervínculo visitado" xfId="131" builtinId="9" hidden="1"/>
    <cellStyle name="Hipervínculo visitado" xfId="133" builtinId="9" hidden="1"/>
    <cellStyle name="Hipervínculo visitado" xfId="135" builtinId="9" hidden="1"/>
    <cellStyle name="Hipervínculo visitado" xfId="137" builtinId="9" hidden="1"/>
    <cellStyle name="Hipervínculo visitado" xfId="139" builtinId="9" hidden="1"/>
    <cellStyle name="Hipervínculo visitado" xfId="141" builtinId="9" hidden="1"/>
    <cellStyle name="Hipervínculo visitado" xfId="143" builtinId="9" hidden="1"/>
    <cellStyle name="Hipervínculo visitado" xfId="145" builtinId="9" hidden="1"/>
    <cellStyle name="Hipervínculo visitado" xfId="147" builtinId="9" hidden="1"/>
    <cellStyle name="Hipervínculo visitado" xfId="149" builtinId="9" hidden="1"/>
    <cellStyle name="Hipervínculo visitado" xfId="151" builtinId="9" hidden="1"/>
    <cellStyle name="Hipervínculo visitado" xfId="153" builtinId="9" hidden="1"/>
    <cellStyle name="Hipervínculo visitado" xfId="155" builtinId="9" hidden="1"/>
    <cellStyle name="Hipervínculo visitado" xfId="157" builtinId="9" hidden="1"/>
    <cellStyle name="Hipervínculo visitado" xfId="159" builtinId="9" hidden="1"/>
    <cellStyle name="Hipervínculo visitado" xfId="161" builtinId="9" hidden="1"/>
    <cellStyle name="Hipervínculo visitado" xfId="163" builtinId="9" hidden="1"/>
    <cellStyle name="Hipervínculo visitado" xfId="165" builtinId="9" hidden="1"/>
    <cellStyle name="Hipervínculo visitado" xfId="167" builtinId="9" hidden="1"/>
    <cellStyle name="Hipervínculo visitado" xfId="169" builtinId="9" hidden="1"/>
    <cellStyle name="Hipervínculo visitado" xfId="171" builtinId="9" hidden="1"/>
    <cellStyle name="Hipervínculo visitado" xfId="173" builtinId="9" hidden="1"/>
    <cellStyle name="Hipervínculo visitado" xfId="175" builtinId="9" hidden="1"/>
    <cellStyle name="Hipervínculo visitado" xfId="177" builtinId="9" hidden="1"/>
    <cellStyle name="Hipervínculo visitado" xfId="179" builtinId="9" hidden="1"/>
    <cellStyle name="Hipervínculo visitado" xfId="181" builtinId="9" hidden="1"/>
    <cellStyle name="Hipervínculo visitado" xfId="183" builtinId="9" hidden="1"/>
    <cellStyle name="Hipervínculo visitado" xfId="185" builtinId="9" hidden="1"/>
    <cellStyle name="Hipervínculo visitado" xfId="187" builtinId="9" hidden="1"/>
    <cellStyle name="Hipervínculo visitado" xfId="189" builtinId="9" hidden="1"/>
    <cellStyle name="Hipervínculo visitado" xfId="191" builtinId="9" hidden="1"/>
    <cellStyle name="Hipervínculo visitado" xfId="193" builtinId="9" hidden="1"/>
    <cellStyle name="Hipervínculo visitado" xfId="195" builtinId="9" hidden="1"/>
    <cellStyle name="Hipervínculo visitado" xfId="197" builtinId="9" hidden="1"/>
    <cellStyle name="Hipervínculo visitado" xfId="199" builtinId="9" hidden="1"/>
    <cellStyle name="Hipervínculo visitado" xfId="201" builtinId="9" hidden="1"/>
    <cellStyle name="Hipervínculo visitado" xfId="203" builtinId="9" hidden="1"/>
    <cellStyle name="Hipervínculo visitado" xfId="205" builtinId="9" hidden="1"/>
    <cellStyle name="Hipervínculo visitado" xfId="207" builtinId="9" hidden="1"/>
    <cellStyle name="Hipervínculo visitado" xfId="209" builtinId="9" hidden="1"/>
    <cellStyle name="Hipervínculo visitado" xfId="211" builtinId="9" hidden="1"/>
    <cellStyle name="Hipervínculo visitado" xfId="213" builtinId="9" hidden="1"/>
    <cellStyle name="Hipervínculo visitado" xfId="215" builtinId="9" hidden="1"/>
    <cellStyle name="Hipervínculo visitado" xfId="217" builtinId="9" hidden="1"/>
    <cellStyle name="Hipervínculo visitado" xfId="219" builtinId="9" hidden="1"/>
    <cellStyle name="Hipervínculo visitado" xfId="221" builtinId="9" hidden="1"/>
    <cellStyle name="Hipervínculo visitado" xfId="223" builtinId="9" hidden="1"/>
    <cellStyle name="Hipervínculo visitado" xfId="225" builtinId="9" hidden="1"/>
    <cellStyle name="Hipervínculo visitado" xfId="227" builtinId="9" hidden="1"/>
    <cellStyle name="Hipervínculo visitado" xfId="229" builtinId="9" hidden="1"/>
    <cellStyle name="Hipervínculo visitado" xfId="231" builtinId="9" hidden="1"/>
    <cellStyle name="Hipervínculo visitado" xfId="233" builtinId="9" hidden="1"/>
    <cellStyle name="Hipervínculo visitado" xfId="235" builtinId="9" hidden="1"/>
    <cellStyle name="Hipervínculo visitado" xfId="237" builtinId="9" hidden="1"/>
    <cellStyle name="Hipervínculo visitado" xfId="239" builtinId="9" hidden="1"/>
    <cellStyle name="Hipervínculo visitado" xfId="241" builtinId="9" hidden="1"/>
    <cellStyle name="Hipervínculo visitado" xfId="243" builtinId="9" hidden="1"/>
    <cellStyle name="Hipervínculo visitado" xfId="245" builtinId="9" hidden="1"/>
    <cellStyle name="Hipervínculo visitado" xfId="247" builtinId="9" hidden="1"/>
    <cellStyle name="Hipervínculo visitado" xfId="249" builtinId="9" hidden="1"/>
    <cellStyle name="Hipervínculo visitado" xfId="251" builtinId="9" hidden="1"/>
    <cellStyle name="Hipervínculo visitado" xfId="253" builtinId="9" hidden="1"/>
    <cellStyle name="Hipervínculo visitado" xfId="255" builtinId="9" hidden="1"/>
    <cellStyle name="Hipervínculo visitado" xfId="257" builtinId="9" hidden="1"/>
    <cellStyle name="Hipervínculo visitado" xfId="259" builtinId="9" hidden="1"/>
    <cellStyle name="Hipervínculo visitado" xfId="261" builtinId="9" hidden="1"/>
    <cellStyle name="Hipervínculo visitado" xfId="263" builtinId="9" hidden="1"/>
    <cellStyle name="Hipervínculo visitado" xfId="265" builtinId="9" hidden="1"/>
    <cellStyle name="Hipervínculo visitado" xfId="267" builtinId="9" hidden="1"/>
    <cellStyle name="Hipervínculo visitado" xfId="269" builtinId="9" hidden="1"/>
    <cellStyle name="Hipervínculo visitado" xfId="271" builtinId="9" hidden="1"/>
    <cellStyle name="Hipervínculo visitado" xfId="273" builtinId="9" hidden="1"/>
    <cellStyle name="Hipervínculo visitado" xfId="275" builtinId="9" hidden="1"/>
    <cellStyle name="Hipervínculo visitado" xfId="277" builtinId="9" hidden="1"/>
    <cellStyle name="Hipervínculo visitado" xfId="279" builtinId="9" hidden="1"/>
    <cellStyle name="Hipervínculo visitado" xfId="281" builtinId="9" hidden="1"/>
    <cellStyle name="Hipervínculo visitado" xfId="283" builtinId="9" hidden="1"/>
    <cellStyle name="Hipervínculo visitado" xfId="285" builtinId="9" hidden="1"/>
    <cellStyle name="Hipervínculo visitado" xfId="287" builtinId="9" hidden="1"/>
    <cellStyle name="Hipervínculo visitado" xfId="289" builtinId="9" hidden="1"/>
    <cellStyle name="Hipervínculo visitado" xfId="291" builtinId="9" hidden="1"/>
    <cellStyle name="Hipervínculo visitado" xfId="293" builtinId="9" hidden="1"/>
    <cellStyle name="Hipervínculo visitado" xfId="295" builtinId="9" hidden="1"/>
    <cellStyle name="Hipervínculo visitado" xfId="297" builtinId="9" hidden="1"/>
    <cellStyle name="Hipervínculo visitado" xfId="299" builtinId="9" hidden="1"/>
    <cellStyle name="Hipervínculo visitado" xfId="301" builtinId="9" hidden="1"/>
    <cellStyle name="Hipervínculo visitado" xfId="303" builtinId="9" hidden="1"/>
    <cellStyle name="Hipervínculo visitado" xfId="305" builtinId="9" hidden="1"/>
    <cellStyle name="Hipervínculo visitado" xfId="307" builtinId="9" hidden="1"/>
    <cellStyle name="Hipervínculo visitado" xfId="309" builtinId="9" hidden="1"/>
    <cellStyle name="Hipervínculo visitado" xfId="311" builtinId="9" hidden="1"/>
    <cellStyle name="Hipervínculo visitado" xfId="313" builtinId="9" hidden="1"/>
    <cellStyle name="Hipervínculo visitado" xfId="315" builtinId="9" hidden="1"/>
    <cellStyle name="Hipervínculo visitado" xfId="317" builtinId="9" hidden="1"/>
    <cellStyle name="Hipervínculo visitado" xfId="319" builtinId="9" hidden="1"/>
    <cellStyle name="Hipervínculo visitado" xfId="321" builtinId="9" hidden="1"/>
    <cellStyle name="Hipervínculo visitado" xfId="323" builtinId="9" hidden="1"/>
    <cellStyle name="Hipervínculo visitado" xfId="325" builtinId="9" hidden="1"/>
    <cellStyle name="Hipervínculo visitado" xfId="327" builtinId="9" hidden="1"/>
    <cellStyle name="Hipervínculo visitado" xfId="329" builtinId="9" hidden="1"/>
    <cellStyle name="Hipervínculo visitado" xfId="331" builtinId="9" hidden="1"/>
    <cellStyle name="Hipervínculo visitado" xfId="333" builtinId="9" hidden="1"/>
    <cellStyle name="Hipervínculo visitado" xfId="335" builtinId="9" hidden="1"/>
    <cellStyle name="Hipervínculo visitado" xfId="337" builtinId="9" hidden="1"/>
    <cellStyle name="Hipervínculo visitado" xfId="339" builtinId="9" hidden="1"/>
    <cellStyle name="Hipervínculo visitado" xfId="341" builtinId="9" hidden="1"/>
    <cellStyle name="Hipervínculo visitado" xfId="343" builtinId="9" hidden="1"/>
    <cellStyle name="Hipervínculo visitado" xfId="345" builtinId="9" hidden="1"/>
    <cellStyle name="Hipervínculo visitado" xfId="347" builtinId="9" hidden="1"/>
    <cellStyle name="Hipervínculo visitado" xfId="349" builtinId="9" hidden="1"/>
    <cellStyle name="Hipervínculo visitado" xfId="351" builtinId="9" hidden="1"/>
    <cellStyle name="Hipervínculo visitado" xfId="353" builtinId="9" hidden="1"/>
    <cellStyle name="Hipervínculo visitado" xfId="355" builtinId="9" hidden="1"/>
    <cellStyle name="Hipervínculo visitado" xfId="357" builtinId="9" hidden="1"/>
    <cellStyle name="Hipervínculo visitado" xfId="359" builtinId="9" hidden="1"/>
    <cellStyle name="Hipervínculo visitado" xfId="361" builtinId="9" hidden="1"/>
    <cellStyle name="Hipervínculo visitado" xfId="363" builtinId="9" hidden="1"/>
    <cellStyle name="Hipervínculo visitado" xfId="365" builtinId="9" hidden="1"/>
    <cellStyle name="Hipervínculo visitado" xfId="367" builtinId="9" hidden="1"/>
    <cellStyle name="Hipervínculo visitado" xfId="369" builtinId="9" hidden="1"/>
    <cellStyle name="Hipervínculo visitado" xfId="371" builtinId="9" hidden="1"/>
    <cellStyle name="Hipervínculo visitado" xfId="373" builtinId="9" hidden="1"/>
    <cellStyle name="Hipervínculo visitado" xfId="375" builtinId="9" hidden="1"/>
    <cellStyle name="Hipervínculo visitado" xfId="377" builtinId="9" hidden="1"/>
    <cellStyle name="Hipervínculo visitado" xfId="379" builtinId="9" hidden="1"/>
    <cellStyle name="Hipervínculo visitado" xfId="381" builtinId="9" hidden="1"/>
    <cellStyle name="Hipervínculo visitado" xfId="383" builtinId="9" hidden="1"/>
    <cellStyle name="Hipervínculo visitado" xfId="385" builtinId="9" hidden="1"/>
    <cellStyle name="Hipervínculo visitado" xfId="387" builtinId="9" hidden="1"/>
    <cellStyle name="Hipervínculo visitado" xfId="389" builtinId="9" hidden="1"/>
    <cellStyle name="Hipervínculo visitado" xfId="391" builtinId="9" hidden="1"/>
    <cellStyle name="Hipervínculo visitado" xfId="393" builtinId="9" hidden="1"/>
    <cellStyle name="Hipervínculo visitado" xfId="395" builtinId="9" hidden="1"/>
    <cellStyle name="Hipervínculo visitado" xfId="397" builtinId="9" hidden="1"/>
    <cellStyle name="Hipervínculo visitado" xfId="399" builtinId="9" hidden="1"/>
    <cellStyle name="Hipervínculo visitado" xfId="401" builtinId="9" hidden="1"/>
    <cellStyle name="Hipervínculo visitado" xfId="403" builtinId="9" hidden="1"/>
    <cellStyle name="Hipervínculo visitado" xfId="405" builtinId="9" hidden="1"/>
    <cellStyle name="Hipervínculo visitado" xfId="407" builtinId="9" hidden="1"/>
    <cellStyle name="Hipervínculo visitado" xfId="409" builtinId="9" hidden="1"/>
    <cellStyle name="Hipervínculo visitado" xfId="411" builtinId="9" hidden="1"/>
    <cellStyle name="Hipervínculo visitado" xfId="413" builtinId="9" hidden="1"/>
    <cellStyle name="Hipervínculo visitado" xfId="415" builtinId="9" hidden="1"/>
    <cellStyle name="Hipervínculo visitado" xfId="417" builtinId="9" hidden="1"/>
    <cellStyle name="Hipervínculo visitado" xfId="419" builtinId="9" hidden="1"/>
    <cellStyle name="Hipervínculo visitado" xfId="421" builtinId="9" hidden="1"/>
    <cellStyle name="Hipervínculo visitado" xfId="423" builtinId="9" hidden="1"/>
    <cellStyle name="Hipervínculo visitado" xfId="425" builtinId="9" hidden="1"/>
    <cellStyle name="Hipervínculo visitado" xfId="427" builtinId="9" hidden="1"/>
    <cellStyle name="Hipervínculo visitado" xfId="429" builtinId="9" hidden="1"/>
    <cellStyle name="Hipervínculo visitado" xfId="431" builtinId="9" hidden="1"/>
    <cellStyle name="Hipervínculo visitado" xfId="433" builtinId="9" hidden="1"/>
    <cellStyle name="Hipervínculo visitado" xfId="435" builtinId="9" hidden="1"/>
    <cellStyle name="Hipervínculo visitado" xfId="437" builtinId="9" hidden="1"/>
    <cellStyle name="Hipervínculo visitado" xfId="439" builtinId="9" hidden="1"/>
    <cellStyle name="Hipervínculo visitado" xfId="441" builtinId="9" hidden="1"/>
    <cellStyle name="Hipervínculo visitado" xfId="443" builtinId="9" hidden="1"/>
    <cellStyle name="Hipervínculo visitado" xfId="445" builtinId="9" hidden="1"/>
    <cellStyle name="Hipervínculo visitado" xfId="447" builtinId="9" hidden="1"/>
    <cellStyle name="Hipervínculo visitado" xfId="449" builtinId="9" hidden="1"/>
    <cellStyle name="Hipervínculo visitado" xfId="451" builtinId="9" hidden="1"/>
    <cellStyle name="Hipervínculo visitado" xfId="453" builtinId="9" hidden="1"/>
    <cellStyle name="Hipervínculo visitado" xfId="455" builtinId="9" hidden="1"/>
    <cellStyle name="Hipervínculo visitado" xfId="457" builtinId="9" hidden="1"/>
    <cellStyle name="Hipervínculo visitado" xfId="459" builtinId="9" hidden="1"/>
    <cellStyle name="Hipervínculo visitado" xfId="461" builtinId="9" hidden="1"/>
    <cellStyle name="Hipervínculo visitado" xfId="463" builtinId="9" hidden="1"/>
    <cellStyle name="Hipervínculo visitado" xfId="465" builtinId="9" hidden="1"/>
    <cellStyle name="Hipervínculo visitado" xfId="467" builtinId="9" hidden="1"/>
    <cellStyle name="Hipervínculo visitado" xfId="469" builtinId="9" hidden="1"/>
    <cellStyle name="Hipervínculo visitado" xfId="471" builtinId="9" hidden="1"/>
    <cellStyle name="Hipervínculo visitado" xfId="473" builtinId="9" hidden="1"/>
    <cellStyle name="Hipervínculo visitado" xfId="475" builtinId="9" hidden="1"/>
    <cellStyle name="Hipervínculo visitado" xfId="477" builtinId="9" hidden="1"/>
    <cellStyle name="Hipervínculo visitado" xfId="479" builtinId="9" hidden="1"/>
    <cellStyle name="Hipervínculo visitado" xfId="481" builtinId="9" hidden="1"/>
    <cellStyle name="Hipervínculo visitado" xfId="483" builtinId="9" hidden="1"/>
    <cellStyle name="Hipervínculo visitado" xfId="485" builtinId="9" hidden="1"/>
    <cellStyle name="Hipervínculo visitado" xfId="487" builtinId="9" hidden="1"/>
    <cellStyle name="Hipervínculo visitado" xfId="489" builtinId="9" hidden="1"/>
    <cellStyle name="Hipervínculo visitado" xfId="491" builtinId="9" hidden="1"/>
    <cellStyle name="Hipervínculo visitado" xfId="493" builtinId="9" hidden="1"/>
    <cellStyle name="Hipervínculo visitado" xfId="495" builtinId="9" hidden="1"/>
    <cellStyle name="Hipervínculo visitado" xfId="497" builtinId="9" hidden="1"/>
    <cellStyle name="Hipervínculo visitado" xfId="499" builtinId="9" hidden="1"/>
    <cellStyle name="Hipervínculo visitado" xfId="501" builtinId="9" hidden="1"/>
    <cellStyle name="Hipervínculo visitado" xfId="503" builtinId="9" hidden="1"/>
    <cellStyle name="Hipervínculo visitado" xfId="505" builtinId="9" hidden="1"/>
    <cellStyle name="Hipervínculo visitado" xfId="507" builtinId="9" hidden="1"/>
    <cellStyle name="Hipervínculo visitado" xfId="509" builtinId="9" hidden="1"/>
    <cellStyle name="Hipervínculo visitado" xfId="511" builtinId="9" hidden="1"/>
    <cellStyle name="Hipervínculo visitado" xfId="513" builtinId="9" hidden="1"/>
    <cellStyle name="Hipervínculo visitado" xfId="515" builtinId="9" hidden="1"/>
    <cellStyle name="Hipervínculo visitado" xfId="517" builtinId="9" hidden="1"/>
    <cellStyle name="Hipervínculo visitado" xfId="519" builtinId="9" hidden="1"/>
    <cellStyle name="Hipervínculo visitado" xfId="521" builtinId="9" hidden="1"/>
    <cellStyle name="Hipervínculo visitado" xfId="523" builtinId="9" hidden="1"/>
    <cellStyle name="Hipervínculo visitado" xfId="525" builtinId="9" hidden="1"/>
    <cellStyle name="Hipervínculo visitado" xfId="527" builtinId="9" hidden="1"/>
    <cellStyle name="Hipervínculo visitado" xfId="529" builtinId="9" hidden="1"/>
    <cellStyle name="Hipervínculo visitado" xfId="531" builtinId="9" hidden="1"/>
    <cellStyle name="Hipervínculo visitado" xfId="533" builtinId="9" hidden="1"/>
    <cellStyle name="Hipervínculo visitado" xfId="535" builtinId="9" hidden="1"/>
    <cellStyle name="Hipervínculo visitado" xfId="537" builtinId="9" hidden="1"/>
    <cellStyle name="Hipervínculo visitado" xfId="539" builtinId="9" hidden="1"/>
    <cellStyle name="Hipervínculo visitado" xfId="541" builtinId="9" hidden="1"/>
    <cellStyle name="Hipervínculo visitado" xfId="543" builtinId="9" hidden="1"/>
    <cellStyle name="Hipervínculo visitado" xfId="545" builtinId="9" hidden="1"/>
    <cellStyle name="Hipervínculo visitado" xfId="547" builtinId="9" hidden="1"/>
    <cellStyle name="Hipervínculo visitado" xfId="549" builtinId="9" hidden="1"/>
    <cellStyle name="Hipervínculo visitado" xfId="551" builtinId="9" hidden="1"/>
    <cellStyle name="Hipervínculo visitado" xfId="553" builtinId="9" hidden="1"/>
    <cellStyle name="Hipervínculo visitado" xfId="555" builtinId="9" hidden="1"/>
    <cellStyle name="Hipervínculo visitado" xfId="557" builtinId="9" hidden="1"/>
    <cellStyle name="Hipervínculo visitado" xfId="559" builtinId="9" hidden="1"/>
    <cellStyle name="Hipervínculo visitado" xfId="561" builtinId="9" hidden="1"/>
    <cellStyle name="Hipervínculo visitado" xfId="563" builtinId="9" hidden="1"/>
    <cellStyle name="Hipervínculo visitado" xfId="565" builtinId="9" hidden="1"/>
    <cellStyle name="Hipervínculo visitado" xfId="567" builtinId="9" hidden="1"/>
    <cellStyle name="Hipervínculo visitado" xfId="569" builtinId="9" hidden="1"/>
    <cellStyle name="Hipervínculo visitado" xfId="571" builtinId="9" hidden="1"/>
    <cellStyle name="Hipervínculo visitado" xfId="573" builtinId="9" hidden="1"/>
    <cellStyle name="Hipervínculo visitado" xfId="575" builtinId="9" hidden="1"/>
    <cellStyle name="Hipervínculo visitado" xfId="577" builtinId="9" hidden="1"/>
    <cellStyle name="Hipervínculo visitado" xfId="579" builtinId="9" hidden="1"/>
    <cellStyle name="Hipervínculo visitado" xfId="581" builtinId="9" hidden="1"/>
    <cellStyle name="Hipervínculo visitado" xfId="583" builtinId="9" hidden="1"/>
    <cellStyle name="Hipervínculo visitado" xfId="585" builtinId="9" hidden="1"/>
    <cellStyle name="Hipervínculo visitado" xfId="587" builtinId="9" hidden="1"/>
    <cellStyle name="Hipervínculo visitado" xfId="589" builtinId="9" hidden="1"/>
    <cellStyle name="Hipervínculo visitado" xfId="591" builtinId="9" hidden="1"/>
    <cellStyle name="Hipervínculo visitado" xfId="593" builtinId="9" hidden="1"/>
    <cellStyle name="Hipervínculo visitado" xfId="595" builtinId="9" hidden="1"/>
    <cellStyle name="Hipervínculo visitado" xfId="597" builtinId="9" hidden="1"/>
    <cellStyle name="Hipervínculo visitado" xfId="599" builtinId="9" hidden="1"/>
    <cellStyle name="Hipervínculo visitado" xfId="601" builtinId="9" hidden="1"/>
    <cellStyle name="Hipervínculo visitado" xfId="603" builtinId="9" hidden="1"/>
    <cellStyle name="Hipervínculo visitado" xfId="605" builtinId="9" hidden="1"/>
    <cellStyle name="Hipervínculo visitado" xfId="607" builtinId="9" hidden="1"/>
    <cellStyle name="Hipervínculo visitado" xfId="609" builtinId="9" hidden="1"/>
    <cellStyle name="Hipervínculo visitado" xfId="611" builtinId="9" hidden="1"/>
    <cellStyle name="Hipervínculo visitado" xfId="613" builtinId="9" hidden="1"/>
    <cellStyle name="Hipervínculo visitado" xfId="615" builtinId="9" hidden="1"/>
    <cellStyle name="Hipervínculo visitado" xfId="617" builtinId="9" hidden="1"/>
    <cellStyle name="Hipervínculo visitado" xfId="619" builtinId="9" hidden="1"/>
    <cellStyle name="Hipervínculo visitado" xfId="621" builtinId="9" hidden="1"/>
    <cellStyle name="Hipervínculo visitado" xfId="623" builtinId="9" hidden="1"/>
    <cellStyle name="Hipervínculo visitado" xfId="625" builtinId="9" hidden="1"/>
    <cellStyle name="Hipervínculo visitado" xfId="627" builtinId="9" hidden="1"/>
    <cellStyle name="Hipervínculo visitado" xfId="629" builtinId="9" hidden="1"/>
    <cellStyle name="Hipervínculo visitado" xfId="631" builtinId="9" hidden="1"/>
    <cellStyle name="Hipervínculo visitado" xfId="633" builtinId="9" hidden="1"/>
    <cellStyle name="Hipervínculo visitado" xfId="635" builtinId="9" hidden="1"/>
    <cellStyle name="Hipervínculo visitado" xfId="637" builtinId="9" hidden="1"/>
    <cellStyle name="Hipervínculo visitado" xfId="639" builtinId="9" hidden="1"/>
    <cellStyle name="Hipervínculo visitado" xfId="641" builtinId="9" hidden="1"/>
    <cellStyle name="Hipervínculo visitado" xfId="643" builtinId="9" hidden="1"/>
    <cellStyle name="Hipervínculo visitado" xfId="645" builtinId="9" hidden="1"/>
    <cellStyle name="Hipervínculo visitado" xfId="647" builtinId="9" hidden="1"/>
    <cellStyle name="Hipervínculo visitado" xfId="649" builtinId="9" hidden="1"/>
    <cellStyle name="Hipervínculo visitado" xfId="651" builtinId="9" hidden="1"/>
    <cellStyle name="Hipervínculo visitado" xfId="653" builtinId="9" hidden="1"/>
    <cellStyle name="Hipervínculo visitado" xfId="655" builtinId="9" hidden="1"/>
    <cellStyle name="Hipervínculo visitado" xfId="657" builtinId="9" hidden="1"/>
    <cellStyle name="Hipervínculo visitado" xfId="659" builtinId="9" hidden="1"/>
    <cellStyle name="Hipervínculo visitado" xfId="661" builtinId="9" hidden="1"/>
    <cellStyle name="Hipervínculo visitado" xfId="663" builtinId="9" hidden="1"/>
    <cellStyle name="Hipervínculo visitado" xfId="665" builtinId="9" hidden="1"/>
    <cellStyle name="Hipervínculo visitado" xfId="667" builtinId="9" hidden="1"/>
    <cellStyle name="Hipervínculo visitado" xfId="669" builtinId="9" hidden="1"/>
    <cellStyle name="Hipervínculo visitado" xfId="671" builtinId="9" hidden="1"/>
    <cellStyle name="Hipervínculo visitado" xfId="673" builtinId="9" hidden="1"/>
    <cellStyle name="Hipervínculo visitado" xfId="675" builtinId="9" hidden="1"/>
    <cellStyle name="Hipervínculo visitado" xfId="677" builtinId="9" hidden="1"/>
    <cellStyle name="Hipervínculo visitado" xfId="679" builtinId="9" hidden="1"/>
    <cellStyle name="Hipervínculo visitado" xfId="681" builtinId="9" hidden="1"/>
    <cellStyle name="Hipervínculo visitado" xfId="683" builtinId="9" hidden="1"/>
    <cellStyle name="Hipervínculo visitado" xfId="685" builtinId="9" hidden="1"/>
    <cellStyle name="Hipervínculo visitado" xfId="687" builtinId="9" hidden="1"/>
    <cellStyle name="Hipervínculo visitado" xfId="689" builtinId="9" hidden="1"/>
    <cellStyle name="Hipervínculo visitado" xfId="691" builtinId="9" hidden="1"/>
    <cellStyle name="Hipervínculo visitado" xfId="693" builtinId="9" hidden="1"/>
    <cellStyle name="Hipervínculo visitado" xfId="695" builtinId="9" hidden="1"/>
    <cellStyle name="Hipervínculo visitado" xfId="697" builtinId="9" hidden="1"/>
    <cellStyle name="Hipervínculo visitado" xfId="699" builtinId="9" hidden="1"/>
    <cellStyle name="Hipervínculo visitado" xfId="701" builtinId="9" hidden="1"/>
    <cellStyle name="Hipervínculo visitado" xfId="703" builtinId="9" hidden="1"/>
    <cellStyle name="Hipervínculo visitado" xfId="705" builtinId="9" hidden="1"/>
    <cellStyle name="Hipervínculo visitado" xfId="707" builtinId="9" hidden="1"/>
    <cellStyle name="Hipervínculo visitado" xfId="709" builtinId="9" hidden="1"/>
    <cellStyle name="Hipervínculo visitado" xfId="711" builtinId="9" hidden="1"/>
    <cellStyle name="Hipervínculo visitado" xfId="713" builtinId="9" hidden="1"/>
    <cellStyle name="Hipervínculo visitado" xfId="715" builtinId="9" hidden="1"/>
    <cellStyle name="Hipervínculo visitado" xfId="717" builtinId="9" hidden="1"/>
    <cellStyle name="Hipervínculo visitado" xfId="719" builtinId="9" hidden="1"/>
    <cellStyle name="Hipervínculo visitado" xfId="721" builtinId="9" hidden="1"/>
    <cellStyle name="Hipervínculo visitado" xfId="723" builtinId="9" hidden="1"/>
    <cellStyle name="Hipervínculo visitado" xfId="725" builtinId="9" hidden="1"/>
    <cellStyle name="Hipervínculo visitado" xfId="727" builtinId="9" hidden="1"/>
    <cellStyle name="Hipervínculo visitado" xfId="729" builtinId="9" hidden="1"/>
    <cellStyle name="Hipervínculo visitado" xfId="731" builtinId="9" hidden="1"/>
    <cellStyle name="Hipervínculo visitado" xfId="733" builtinId="9" hidden="1"/>
    <cellStyle name="Hipervínculo visitado" xfId="735" builtinId="9" hidden="1"/>
    <cellStyle name="Hipervínculo visitado" xfId="737" builtinId="9" hidden="1"/>
    <cellStyle name="Hipervínculo visitado" xfId="739" builtinId="9" hidden="1"/>
    <cellStyle name="Hipervínculo visitado" xfId="741" builtinId="9" hidden="1"/>
    <cellStyle name="Hipervínculo visitado" xfId="743" builtinId="9" hidden="1"/>
    <cellStyle name="Hipervínculo visitado" xfId="745" builtinId="9" hidden="1"/>
    <cellStyle name="Hipervínculo visitado" xfId="747" builtinId="9" hidden="1"/>
    <cellStyle name="Hipervínculo visitado" xfId="749" builtinId="9" hidden="1"/>
    <cellStyle name="Hipervínculo visitado" xfId="751" builtinId="9" hidden="1"/>
    <cellStyle name="Hipervínculo visitado" xfId="753" builtinId="9" hidden="1"/>
    <cellStyle name="Hipervínculo visitado" xfId="755" builtinId="9" hidden="1"/>
    <cellStyle name="Hipervínculo visitado" xfId="757" builtinId="9" hidden="1"/>
    <cellStyle name="Hipervínculo visitado" xfId="759" builtinId="9" hidden="1"/>
    <cellStyle name="Hipervínculo visitado" xfId="761" builtinId="9" hidden="1"/>
    <cellStyle name="Hipervínculo visitado" xfId="763" builtinId="9" hidden="1"/>
    <cellStyle name="Hipervínculo visitado" xfId="765" builtinId="9" hidden="1"/>
    <cellStyle name="Hipervínculo visitado" xfId="767" builtinId="9" hidden="1"/>
    <cellStyle name="Hipervínculo visitado" xfId="769" builtinId="9" hidden="1"/>
    <cellStyle name="Hipervínculo visitado" xfId="771" builtinId="9" hidden="1"/>
    <cellStyle name="Hipervínculo visitado" xfId="773" builtinId="9" hidden="1"/>
    <cellStyle name="Hipervínculo visitado" xfId="775" builtinId="9" hidden="1"/>
    <cellStyle name="Hipervínculo visitado" xfId="777" builtinId="9" hidden="1"/>
    <cellStyle name="Hipervínculo visitado" xfId="779" builtinId="9" hidden="1"/>
    <cellStyle name="Hipervínculo visitado" xfId="781" builtinId="9" hidden="1"/>
    <cellStyle name="Hipervínculo visitado" xfId="783" builtinId="9" hidden="1"/>
    <cellStyle name="Hipervínculo visitado" xfId="785" builtinId="9" hidden="1"/>
    <cellStyle name="Hipervínculo visitado" xfId="787" builtinId="9" hidden="1"/>
    <cellStyle name="Hipervínculo visitado" xfId="789" builtinId="9" hidden="1"/>
    <cellStyle name="Hipervínculo visitado" xfId="791" builtinId="9" hidden="1"/>
    <cellStyle name="Hipervínculo visitado" xfId="793" builtinId="9" hidden="1"/>
    <cellStyle name="Hipervínculo visitado" xfId="795" builtinId="9" hidden="1"/>
    <cellStyle name="Hipervínculo visitado" xfId="797" builtinId="9" hidden="1"/>
    <cellStyle name="Hipervínculo visitado" xfId="799" builtinId="9" hidden="1"/>
    <cellStyle name="Hipervínculo visitado" xfId="801" builtinId="9" hidden="1"/>
    <cellStyle name="Hipervínculo visitado" xfId="803" builtinId="9" hidden="1"/>
    <cellStyle name="Hipervínculo visitado" xfId="805" builtinId="9" hidden="1"/>
    <cellStyle name="Hipervínculo visitado" xfId="807" builtinId="9" hidden="1"/>
    <cellStyle name="Hipervínculo visitado" xfId="809" builtinId="9" hidden="1"/>
    <cellStyle name="Hipervínculo visitado" xfId="811" builtinId="9" hidden="1"/>
    <cellStyle name="Hipervínculo visitado" xfId="813" builtinId="9" hidden="1"/>
    <cellStyle name="Hipervínculo visitado" xfId="815" builtinId="9" hidden="1"/>
    <cellStyle name="Hipervínculo visitado" xfId="817" builtinId="9" hidden="1"/>
    <cellStyle name="Hipervínculo visitado" xfId="819" builtinId="9" hidden="1"/>
    <cellStyle name="Hipervínculo visitado" xfId="821" builtinId="9" hidden="1"/>
    <cellStyle name="Hipervínculo visitado" xfId="823" builtinId="9" hidden="1"/>
    <cellStyle name="Hipervínculo visitado" xfId="825" builtinId="9" hidden="1"/>
    <cellStyle name="Hipervínculo visitado" xfId="827" builtinId="9" hidden="1"/>
    <cellStyle name="Hipervínculo visitado" xfId="829" builtinId="9" hidden="1"/>
    <cellStyle name="Hipervínculo visitado" xfId="831" builtinId="9" hidden="1"/>
    <cellStyle name="Hipervínculo visitado" xfId="833" builtinId="9" hidden="1"/>
    <cellStyle name="Hipervínculo visitado" xfId="835" builtinId="9" hidden="1"/>
    <cellStyle name="Hipervínculo visitado" xfId="837" builtinId="9" hidden="1"/>
    <cellStyle name="Hipervínculo visitado" xfId="839" builtinId="9" hidden="1"/>
    <cellStyle name="Hipervínculo visitado" xfId="841" builtinId="9" hidden="1"/>
    <cellStyle name="Hipervínculo visitado" xfId="843" builtinId="9" hidden="1"/>
    <cellStyle name="Hipervínculo visitado" xfId="845" builtinId="9" hidden="1"/>
    <cellStyle name="Millares" xfId="1" builtinId="3"/>
    <cellStyle name="Millares [0]" xfId="2" builtinId="6"/>
    <cellStyle name="Normal" xfId="0" builtinId="0"/>
    <cellStyle name="Porcentual" xfId="3" builtinId="5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theme" Target="theme/theme1.xml"/><Relationship Id="rId16" Type="http://schemas.openxmlformats.org/officeDocument/2006/relationships/styles" Target="styles.xml"/><Relationship Id="rId17" Type="http://schemas.openxmlformats.org/officeDocument/2006/relationships/sharedStrings" Target="sharedStrings.xml"/><Relationship Id="rId18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97"/>
  <sheetViews>
    <sheetView tabSelected="1" topLeftCell="B67" workbookViewId="0">
      <selection activeCell="E71" sqref="E71"/>
    </sheetView>
  </sheetViews>
  <sheetFormatPr baseColWidth="10" defaultRowHeight="15" x14ac:dyDescent="0"/>
  <cols>
    <col min="1" max="1" width="1.33203125" style="1" hidden="1" customWidth="1"/>
    <col min="2" max="2" width="4.33203125" style="184" customWidth="1"/>
    <col min="3" max="3" width="15.83203125" style="333" customWidth="1"/>
    <col min="4" max="4" width="20.83203125" style="15" customWidth="1"/>
    <col min="5" max="5" width="40.83203125" style="3" customWidth="1"/>
    <col min="6" max="7" width="10.83203125" style="144" customWidth="1"/>
    <col min="8" max="8" width="8.1640625" style="6" hidden="1" customWidth="1"/>
    <col min="9" max="9" width="14.5" style="4" hidden="1" customWidth="1"/>
    <col min="10" max="10" width="9.83203125" style="7" hidden="1" customWidth="1"/>
    <col min="11" max="11" width="15.83203125" style="117" customWidth="1"/>
    <col min="12" max="12" width="15.33203125" style="4" hidden="1" customWidth="1"/>
    <col min="13" max="13" width="15.83203125" style="7" customWidth="1"/>
    <col min="14" max="16384" width="10.83203125" style="3"/>
  </cols>
  <sheetData>
    <row r="1" spans="2:28" s="3" customFormat="1" ht="18">
      <c r="B1" s="182"/>
      <c r="C1" s="331"/>
      <c r="D1" s="75"/>
      <c r="E1" s="78" t="s">
        <v>0</v>
      </c>
      <c r="F1" s="234"/>
      <c r="G1" s="235"/>
      <c r="H1" s="79"/>
      <c r="I1" s="80"/>
      <c r="J1" s="81"/>
      <c r="K1" s="116"/>
      <c r="L1" s="80"/>
      <c r="M1" s="82"/>
      <c r="O1"/>
      <c r="AB1"/>
    </row>
    <row r="2" spans="2:28" s="3" customFormat="1" ht="18">
      <c r="B2" s="182"/>
      <c r="C2" s="331"/>
      <c r="D2" s="75"/>
      <c r="E2" s="78" t="s">
        <v>256</v>
      </c>
      <c r="F2" s="234"/>
      <c r="G2" s="235"/>
      <c r="H2" s="79"/>
      <c r="I2" s="80"/>
      <c r="J2" s="81"/>
      <c r="K2" s="116"/>
      <c r="L2" s="80"/>
      <c r="M2" s="82"/>
      <c r="O2"/>
      <c r="AB2"/>
    </row>
    <row r="3" spans="2:28" s="3" customFormat="1" ht="6" customHeight="1">
      <c r="B3" s="183"/>
      <c r="C3" s="332"/>
      <c r="D3" s="83"/>
      <c r="E3" s="85"/>
      <c r="F3" s="236"/>
      <c r="G3" s="236"/>
      <c r="H3" s="86"/>
      <c r="I3" s="9"/>
      <c r="J3" s="9"/>
      <c r="K3" s="115"/>
      <c r="L3" s="9"/>
      <c r="M3" s="9"/>
      <c r="O3"/>
      <c r="AB3"/>
    </row>
    <row r="4" spans="2:28" s="3" customFormat="1" ht="23">
      <c r="B4" s="29"/>
      <c r="C4" s="344" t="s">
        <v>358</v>
      </c>
      <c r="D4" s="344"/>
      <c r="E4" s="344"/>
      <c r="F4" s="344"/>
      <c r="G4" s="344"/>
      <c r="H4" s="344"/>
      <c r="I4" s="344"/>
      <c r="J4" s="344"/>
      <c r="K4" s="344"/>
      <c r="L4" s="87"/>
      <c r="M4" s="87"/>
      <c r="O4"/>
      <c r="AB4"/>
    </row>
    <row r="5" spans="2:28" s="3" customFormat="1" ht="23">
      <c r="B5" s="29"/>
      <c r="C5" s="344" t="s">
        <v>271</v>
      </c>
      <c r="D5" s="344"/>
      <c r="E5" s="344"/>
      <c r="F5" s="344"/>
      <c r="G5" s="344"/>
      <c r="H5" s="344"/>
      <c r="I5" s="344"/>
      <c r="J5" s="344"/>
      <c r="K5" s="344"/>
      <c r="L5" s="87"/>
      <c r="M5" s="87"/>
      <c r="O5"/>
      <c r="AB5"/>
    </row>
    <row r="6" spans="2:28" s="3" customFormat="1" ht="24" thickBot="1">
      <c r="B6" s="29"/>
      <c r="C6" s="180"/>
      <c r="D6" s="43"/>
      <c r="E6" s="43"/>
      <c r="F6" s="180"/>
      <c r="G6" s="180"/>
      <c r="H6" s="43"/>
      <c r="I6" s="43"/>
      <c r="J6" s="43"/>
      <c r="K6" s="43"/>
      <c r="L6" s="87"/>
      <c r="M6" s="87"/>
      <c r="O6"/>
      <c r="AB6"/>
    </row>
    <row r="7" spans="2:28" s="3" customFormat="1" ht="46" thickBot="1">
      <c r="B7" s="241" t="s">
        <v>1</v>
      </c>
      <c r="C7" s="320" t="s">
        <v>2</v>
      </c>
      <c r="D7" s="212" t="s">
        <v>3</v>
      </c>
      <c r="E7" s="212" t="s">
        <v>4</v>
      </c>
      <c r="F7" s="213" t="s">
        <v>5</v>
      </c>
      <c r="G7" s="213" t="s">
        <v>6</v>
      </c>
      <c r="H7" s="214" t="s">
        <v>7</v>
      </c>
      <c r="I7" s="215" t="s">
        <v>8</v>
      </c>
      <c r="J7" s="215" t="s">
        <v>9</v>
      </c>
      <c r="K7" s="216" t="s">
        <v>250</v>
      </c>
      <c r="L7" s="215" t="s">
        <v>10</v>
      </c>
      <c r="M7" s="217" t="s">
        <v>11</v>
      </c>
      <c r="O7"/>
      <c r="AB7"/>
    </row>
    <row r="8" spans="2:28" s="3" customFormat="1">
      <c r="B8" s="345">
        <v>1</v>
      </c>
      <c r="C8" s="347" t="s">
        <v>418</v>
      </c>
      <c r="D8" s="348" t="s">
        <v>292</v>
      </c>
      <c r="E8" s="346" t="s">
        <v>290</v>
      </c>
      <c r="F8" s="349">
        <v>34839</v>
      </c>
      <c r="G8" s="349">
        <v>34885</v>
      </c>
      <c r="H8" s="220"/>
      <c r="I8" s="221"/>
      <c r="J8" s="222"/>
      <c r="K8" s="350">
        <v>27347000</v>
      </c>
      <c r="L8" s="223"/>
      <c r="M8" s="340">
        <f t="shared" ref="M8:M9" si="0">K8/118934</f>
        <v>229.9342492474818</v>
      </c>
      <c r="O8"/>
      <c r="AB8"/>
    </row>
    <row r="9" spans="2:28" s="3" customFormat="1" ht="21" customHeight="1">
      <c r="B9" s="342"/>
      <c r="C9" s="337"/>
      <c r="D9" s="336"/>
      <c r="E9" s="338"/>
      <c r="F9" s="339"/>
      <c r="G9" s="339"/>
      <c r="H9" s="34"/>
      <c r="I9" s="88"/>
      <c r="J9" s="36"/>
      <c r="K9" s="343"/>
      <c r="L9" s="89"/>
      <c r="M9" s="341">
        <f t="shared" si="0"/>
        <v>0</v>
      </c>
      <c r="O9"/>
      <c r="AB9"/>
    </row>
    <row r="10" spans="2:28" s="3" customFormat="1">
      <c r="B10" s="342">
        <f>+B8+1</f>
        <v>2</v>
      </c>
      <c r="C10" s="337" t="s">
        <v>419</v>
      </c>
      <c r="D10" s="336" t="s">
        <v>261</v>
      </c>
      <c r="E10" s="338" t="s">
        <v>291</v>
      </c>
      <c r="F10" s="339">
        <v>35101</v>
      </c>
      <c r="G10" s="339">
        <v>35141</v>
      </c>
      <c r="H10" s="34"/>
      <c r="I10" s="88"/>
      <c r="J10" s="36"/>
      <c r="K10" s="343">
        <v>17356800</v>
      </c>
      <c r="L10" s="89"/>
      <c r="M10" s="341">
        <f>K10/142125</f>
        <v>122.12348284960422</v>
      </c>
      <c r="O10"/>
      <c r="AB10"/>
    </row>
    <row r="11" spans="2:28" s="3" customFormat="1">
      <c r="B11" s="342"/>
      <c r="C11" s="337"/>
      <c r="D11" s="336"/>
      <c r="E11" s="338"/>
      <c r="F11" s="339"/>
      <c r="G11" s="339"/>
      <c r="H11" s="34"/>
      <c r="I11" s="88"/>
      <c r="J11" s="36"/>
      <c r="K11" s="343"/>
      <c r="L11" s="89"/>
      <c r="M11" s="341"/>
      <c r="O11"/>
      <c r="AB11"/>
    </row>
    <row r="12" spans="2:28" s="3" customFormat="1" ht="24">
      <c r="B12" s="242">
        <v>3</v>
      </c>
      <c r="C12" s="188" t="s">
        <v>420</v>
      </c>
      <c r="D12" s="94" t="s">
        <v>295</v>
      </c>
      <c r="E12" s="37" t="s">
        <v>296</v>
      </c>
      <c r="F12" s="128">
        <v>36234</v>
      </c>
      <c r="G12" s="128">
        <v>36356</v>
      </c>
      <c r="H12" s="34"/>
      <c r="I12" s="88"/>
      <c r="J12" s="36"/>
      <c r="K12" s="113">
        <v>38754000</v>
      </c>
      <c r="L12" s="89"/>
      <c r="M12" s="189">
        <f>K12/236460</f>
        <v>163.89241309312357</v>
      </c>
      <c r="O12"/>
      <c r="AB12"/>
    </row>
    <row r="13" spans="2:28" s="3" customFormat="1" ht="48">
      <c r="B13" s="242">
        <v>4</v>
      </c>
      <c r="C13" s="188" t="s">
        <v>421</v>
      </c>
      <c r="D13" s="53" t="s">
        <v>411</v>
      </c>
      <c r="E13" s="38" t="s">
        <v>413</v>
      </c>
      <c r="F13" s="131">
        <v>37735</v>
      </c>
      <c r="G13" s="131">
        <v>37796</v>
      </c>
      <c r="H13" s="39">
        <f t="shared" ref="H13" si="1">G13-F13</f>
        <v>61</v>
      </c>
      <c r="I13" s="40">
        <v>2215983301</v>
      </c>
      <c r="J13" s="41">
        <v>1</v>
      </c>
      <c r="K13" s="119">
        <v>22000000</v>
      </c>
      <c r="L13" s="42">
        <f>+K13/2778.21</f>
        <v>7918.7678397241389</v>
      </c>
      <c r="M13" s="189">
        <f>K13/332000</f>
        <v>66.265060240963862</v>
      </c>
      <c r="O13"/>
      <c r="AB13"/>
    </row>
    <row r="14" spans="2:28" s="3" customFormat="1" ht="96">
      <c r="B14" s="242">
        <v>5</v>
      </c>
      <c r="C14" s="188" t="s">
        <v>422</v>
      </c>
      <c r="D14" s="94" t="s">
        <v>411</v>
      </c>
      <c r="E14" s="139" t="s">
        <v>412</v>
      </c>
      <c r="F14" s="128">
        <v>38651</v>
      </c>
      <c r="G14" s="128">
        <v>38712</v>
      </c>
      <c r="H14" s="99"/>
      <c r="I14" s="67"/>
      <c r="J14" s="66"/>
      <c r="K14" s="118">
        <v>65000000</v>
      </c>
      <c r="L14" s="67"/>
      <c r="M14" s="189">
        <f>K14/381500</f>
        <v>170.38007863695938</v>
      </c>
      <c r="O14"/>
      <c r="AB14"/>
    </row>
    <row r="15" spans="2:28" s="3" customFormat="1" ht="73">
      <c r="B15" s="242">
        <v>6</v>
      </c>
      <c r="C15" s="188" t="s">
        <v>423</v>
      </c>
      <c r="D15" s="94" t="s">
        <v>281</v>
      </c>
      <c r="E15" s="103" t="s">
        <v>289</v>
      </c>
      <c r="F15" s="128">
        <v>38874</v>
      </c>
      <c r="G15" s="128">
        <v>38935</v>
      </c>
      <c r="H15" s="34"/>
      <c r="I15" s="88"/>
      <c r="J15" s="36"/>
      <c r="K15" s="114">
        <v>57550000</v>
      </c>
      <c r="L15" s="89"/>
      <c r="M15" s="189">
        <f>K15/408000</f>
        <v>141.05392156862746</v>
      </c>
      <c r="O15"/>
      <c r="AB15"/>
    </row>
    <row r="16" spans="2:28" s="3" customFormat="1" ht="48">
      <c r="B16" s="242">
        <v>7</v>
      </c>
      <c r="C16" s="188" t="s">
        <v>424</v>
      </c>
      <c r="D16" s="53" t="s">
        <v>224</v>
      </c>
      <c r="E16" s="37" t="s">
        <v>397</v>
      </c>
      <c r="F16" s="128">
        <v>39028</v>
      </c>
      <c r="G16" s="128">
        <v>39089</v>
      </c>
      <c r="H16" s="34"/>
      <c r="I16" s="88"/>
      <c r="J16" s="36"/>
      <c r="K16" s="114">
        <v>49393926</v>
      </c>
      <c r="L16" s="89"/>
      <c r="M16" s="189">
        <f>K16/408000</f>
        <v>121.06354411764706</v>
      </c>
      <c r="O16"/>
      <c r="AB16"/>
    </row>
    <row r="17" spans="2:28" s="3" customFormat="1" ht="36">
      <c r="B17" s="242">
        <v>8</v>
      </c>
      <c r="C17" s="188" t="s">
        <v>425</v>
      </c>
      <c r="D17" s="53" t="s">
        <v>347</v>
      </c>
      <c r="E17" s="37" t="s">
        <v>394</v>
      </c>
      <c r="F17" s="128">
        <v>39636</v>
      </c>
      <c r="G17" s="128">
        <v>39698</v>
      </c>
      <c r="H17" s="34"/>
      <c r="I17" s="88"/>
      <c r="J17" s="36"/>
      <c r="K17" s="114">
        <v>38339200</v>
      </c>
      <c r="L17" s="89"/>
      <c r="M17" s="192">
        <f>+K17/461500</f>
        <v>83.075189599133267</v>
      </c>
      <c r="O17"/>
      <c r="AB17"/>
    </row>
    <row r="18" spans="2:28" s="3" customFormat="1" ht="36">
      <c r="B18" s="242">
        <v>9</v>
      </c>
      <c r="C18" s="188" t="s">
        <v>426</v>
      </c>
      <c r="D18" s="53" t="s">
        <v>224</v>
      </c>
      <c r="E18" s="37" t="s">
        <v>395</v>
      </c>
      <c r="F18" s="128">
        <v>39887</v>
      </c>
      <c r="G18" s="128">
        <v>39948</v>
      </c>
      <c r="H18" s="34"/>
      <c r="I18" s="88"/>
      <c r="J18" s="36"/>
      <c r="K18" s="114">
        <v>46539300</v>
      </c>
      <c r="L18" s="89"/>
      <c r="M18" s="192">
        <f>+K18/496900</f>
        <v>93.659287583014688</v>
      </c>
      <c r="O18"/>
      <c r="AB18"/>
    </row>
    <row r="19" spans="2:28" s="3" customFormat="1" ht="48">
      <c r="B19" s="242">
        <v>10</v>
      </c>
      <c r="C19" s="188" t="s">
        <v>427</v>
      </c>
      <c r="D19" s="53" t="s">
        <v>396</v>
      </c>
      <c r="E19" s="37" t="s">
        <v>398</v>
      </c>
      <c r="F19" s="128">
        <v>40044</v>
      </c>
      <c r="G19" s="128">
        <v>40136</v>
      </c>
      <c r="H19" s="34"/>
      <c r="I19" s="88"/>
      <c r="J19" s="36"/>
      <c r="K19" s="114">
        <v>65393000</v>
      </c>
      <c r="L19" s="89"/>
      <c r="M19" s="192">
        <f>+K19/496900</f>
        <v>131.60193197826524</v>
      </c>
      <c r="O19"/>
      <c r="AB19"/>
    </row>
    <row r="20" spans="2:28" s="3" customFormat="1" ht="36">
      <c r="B20" s="242">
        <v>11</v>
      </c>
      <c r="C20" s="188" t="s">
        <v>431</v>
      </c>
      <c r="D20" s="53" t="s">
        <v>347</v>
      </c>
      <c r="E20" s="37" t="s">
        <v>399</v>
      </c>
      <c r="F20" s="128">
        <v>40379</v>
      </c>
      <c r="G20" s="128">
        <v>40441</v>
      </c>
      <c r="H20" s="34"/>
      <c r="I20" s="88"/>
      <c r="J20" s="36"/>
      <c r="K20" s="114">
        <v>38339200</v>
      </c>
      <c r="L20" s="89"/>
      <c r="M20" s="192">
        <f>+K20/515000</f>
        <v>74.445048543689325</v>
      </c>
      <c r="O20"/>
      <c r="AB20"/>
    </row>
    <row r="21" spans="2:28" s="3" customFormat="1" ht="48">
      <c r="B21" s="242">
        <v>12</v>
      </c>
      <c r="C21" s="188" t="s">
        <v>432</v>
      </c>
      <c r="D21" s="53" t="s">
        <v>347</v>
      </c>
      <c r="E21" s="37" t="s">
        <v>402</v>
      </c>
      <c r="F21" s="128">
        <v>40704</v>
      </c>
      <c r="G21" s="128">
        <v>40765</v>
      </c>
      <c r="H21" s="34"/>
      <c r="I21" s="88"/>
      <c r="J21" s="36"/>
      <c r="K21" s="114">
        <v>47392600</v>
      </c>
      <c r="L21" s="89"/>
      <c r="M21" s="192">
        <f>+K21/535600</f>
        <v>88.485063480209107</v>
      </c>
      <c r="O21"/>
      <c r="AB21"/>
    </row>
    <row r="22" spans="2:28" s="3" customFormat="1" ht="48">
      <c r="B22" s="242">
        <v>13</v>
      </c>
      <c r="C22" s="188" t="s">
        <v>433</v>
      </c>
      <c r="D22" s="53" t="s">
        <v>403</v>
      </c>
      <c r="E22" s="37" t="s">
        <v>400</v>
      </c>
      <c r="F22" s="128">
        <v>40983</v>
      </c>
      <c r="G22" s="128">
        <v>41044</v>
      </c>
      <c r="H22" s="34"/>
      <c r="I22" s="88"/>
      <c r="J22" s="36"/>
      <c r="K22" s="114">
        <v>73930000</v>
      </c>
      <c r="L22" s="89"/>
      <c r="M22" s="192">
        <f>+K22/566700</f>
        <v>130.45703193929768</v>
      </c>
      <c r="O22"/>
      <c r="AB22"/>
    </row>
    <row r="23" spans="2:28" s="3" customFormat="1" ht="60">
      <c r="B23" s="242">
        <v>14</v>
      </c>
      <c r="C23" s="188" t="s">
        <v>434</v>
      </c>
      <c r="D23" s="94" t="s">
        <v>281</v>
      </c>
      <c r="E23" s="37" t="s">
        <v>401</v>
      </c>
      <c r="F23" s="128">
        <v>41396</v>
      </c>
      <c r="G23" s="128">
        <v>41488</v>
      </c>
      <c r="H23" s="34"/>
      <c r="I23" s="88"/>
      <c r="J23" s="36"/>
      <c r="K23" s="114">
        <v>88392000</v>
      </c>
      <c r="L23" s="89"/>
      <c r="M23" s="192">
        <f>+K23/589500</f>
        <v>149.94402035623409</v>
      </c>
      <c r="O23"/>
      <c r="AB23"/>
    </row>
    <row r="24" spans="2:28" s="3" customFormat="1" ht="36">
      <c r="B24" s="242">
        <v>15</v>
      </c>
      <c r="C24" s="188" t="s">
        <v>435</v>
      </c>
      <c r="D24" s="53" t="s">
        <v>347</v>
      </c>
      <c r="E24" s="37" t="s">
        <v>404</v>
      </c>
      <c r="F24" s="128">
        <v>41713</v>
      </c>
      <c r="G24" s="128">
        <v>41774</v>
      </c>
      <c r="H24" s="34"/>
      <c r="I24" s="88"/>
      <c r="J24" s="36"/>
      <c r="K24" s="114">
        <v>55334000</v>
      </c>
      <c r="L24" s="89"/>
      <c r="M24" s="192">
        <f>+K24/616000</f>
        <v>89.827922077922082</v>
      </c>
      <c r="O24"/>
      <c r="AB24"/>
    </row>
    <row r="25" spans="2:28" s="3" customFormat="1" ht="48">
      <c r="B25" s="242">
        <v>16</v>
      </c>
      <c r="C25" s="188" t="s">
        <v>436</v>
      </c>
      <c r="D25" s="53" t="s">
        <v>347</v>
      </c>
      <c r="E25" s="37" t="s">
        <v>405</v>
      </c>
      <c r="F25" s="128">
        <v>42228</v>
      </c>
      <c r="G25" s="128">
        <v>42320</v>
      </c>
      <c r="H25" s="34"/>
      <c r="I25" s="88"/>
      <c r="J25" s="36"/>
      <c r="K25" s="114">
        <v>64683000</v>
      </c>
      <c r="L25" s="42"/>
      <c r="M25" s="192">
        <f>+K25/644350</f>
        <v>100.38488399161946</v>
      </c>
      <c r="O25"/>
      <c r="AB25"/>
    </row>
    <row r="26" spans="2:28" s="3" customFormat="1" ht="36">
      <c r="B26" s="242">
        <v>17</v>
      </c>
      <c r="C26" s="275" t="s">
        <v>430</v>
      </c>
      <c r="D26" s="53" t="s">
        <v>406</v>
      </c>
      <c r="E26" s="37" t="s">
        <v>407</v>
      </c>
      <c r="F26" s="128">
        <v>42410</v>
      </c>
      <c r="G26" s="128">
        <v>42470</v>
      </c>
      <c r="H26" s="34"/>
      <c r="I26" s="88"/>
      <c r="J26" s="36"/>
      <c r="K26" s="114">
        <v>74500780</v>
      </c>
      <c r="L26" s="42"/>
      <c r="M26" s="192">
        <f>+K26/689455</f>
        <v>108.05749468783314</v>
      </c>
      <c r="O26"/>
      <c r="AB26"/>
    </row>
    <row r="27" spans="2:28" s="3" customFormat="1" ht="48">
      <c r="B27" s="242">
        <v>18</v>
      </c>
      <c r="C27" s="275" t="s">
        <v>429</v>
      </c>
      <c r="D27" s="53" t="s">
        <v>409</v>
      </c>
      <c r="E27" s="37" t="s">
        <v>408</v>
      </c>
      <c r="F27" s="128">
        <v>42644</v>
      </c>
      <c r="G27" s="128">
        <v>42705</v>
      </c>
      <c r="H27" s="128">
        <v>42470</v>
      </c>
      <c r="I27" s="88"/>
      <c r="J27" s="36"/>
      <c r="K27" s="114">
        <v>28576200</v>
      </c>
      <c r="L27" s="42"/>
      <c r="M27" s="192">
        <f>+K27/689455</f>
        <v>41.447520142721423</v>
      </c>
      <c r="O27"/>
      <c r="AB27"/>
    </row>
    <row r="28" spans="2:28" s="3" customFormat="1" ht="47" customHeight="1">
      <c r="B28" s="242">
        <v>19</v>
      </c>
      <c r="C28" s="188" t="s">
        <v>437</v>
      </c>
      <c r="D28" s="94" t="s">
        <v>281</v>
      </c>
      <c r="E28" s="37" t="s">
        <v>414</v>
      </c>
      <c r="F28" s="128">
        <v>42865</v>
      </c>
      <c r="G28" s="128">
        <v>42957</v>
      </c>
      <c r="H28" s="128">
        <v>42470</v>
      </c>
      <c r="I28" s="88"/>
      <c r="J28" s="36"/>
      <c r="K28" s="114">
        <v>57800000</v>
      </c>
      <c r="L28" s="42"/>
      <c r="M28" s="192">
        <f>+K28/737717</f>
        <v>78.349827915040592</v>
      </c>
      <c r="O28"/>
      <c r="AB28"/>
    </row>
    <row r="29" spans="2:28" s="3" customFormat="1" ht="36">
      <c r="B29" s="242">
        <v>20</v>
      </c>
      <c r="C29" s="188" t="s">
        <v>438</v>
      </c>
      <c r="D29" s="53" t="s">
        <v>347</v>
      </c>
      <c r="E29" s="37" t="s">
        <v>399</v>
      </c>
      <c r="F29" s="128">
        <v>42948</v>
      </c>
      <c r="G29" s="128">
        <v>43009</v>
      </c>
      <c r="H29" s="128">
        <v>42470</v>
      </c>
      <c r="I29" s="88"/>
      <c r="J29" s="36"/>
      <c r="K29" s="114">
        <v>85750800</v>
      </c>
      <c r="L29" s="42"/>
      <c r="M29" s="192">
        <f>+K29/737717</f>
        <v>116.2380696120599</v>
      </c>
      <c r="O29"/>
      <c r="AB29"/>
    </row>
    <row r="30" spans="2:28" s="3" customFormat="1" ht="60">
      <c r="B30" s="242">
        <v>21</v>
      </c>
      <c r="C30" s="275" t="s">
        <v>428</v>
      </c>
      <c r="D30" s="94" t="s">
        <v>416</v>
      </c>
      <c r="E30" s="37" t="s">
        <v>415</v>
      </c>
      <c r="F30" s="128">
        <v>43205</v>
      </c>
      <c r="G30" s="128">
        <v>43253</v>
      </c>
      <c r="H30" s="34"/>
      <c r="I30" s="88"/>
      <c r="J30" s="36"/>
      <c r="K30" s="114">
        <v>97892000</v>
      </c>
      <c r="L30" s="89"/>
      <c r="M30" s="192">
        <f>+K30/781242</f>
        <v>125.30304310316137</v>
      </c>
      <c r="O30"/>
      <c r="AB30"/>
    </row>
    <row r="31" spans="2:28" s="3" customFormat="1" ht="37" thickBot="1">
      <c r="B31" s="243">
        <v>22</v>
      </c>
      <c r="C31" s="225" t="s">
        <v>439</v>
      </c>
      <c r="D31" s="226" t="s">
        <v>281</v>
      </c>
      <c r="E31" s="227" t="s">
        <v>417</v>
      </c>
      <c r="F31" s="228">
        <v>43353</v>
      </c>
      <c r="G31" s="228">
        <v>43414</v>
      </c>
      <c r="H31" s="228">
        <v>42470</v>
      </c>
      <c r="I31" s="229"/>
      <c r="J31" s="230"/>
      <c r="K31" s="231">
        <v>123450000</v>
      </c>
      <c r="L31" s="232"/>
      <c r="M31" s="203">
        <f>+K31/781242</f>
        <v>158.01761810040935</v>
      </c>
      <c r="O31"/>
      <c r="AB31"/>
    </row>
    <row r="32" spans="2:28" s="3" customFormat="1" ht="46" customHeight="1">
      <c r="B32" s="184"/>
      <c r="C32" s="333"/>
      <c r="D32" s="15"/>
      <c r="F32" s="144"/>
      <c r="G32" s="144"/>
      <c r="H32" s="6"/>
      <c r="I32" s="4"/>
      <c r="J32" s="7"/>
      <c r="K32" s="117"/>
      <c r="L32" s="4"/>
      <c r="M32" s="7"/>
      <c r="O32"/>
      <c r="AB32"/>
    </row>
    <row r="33" spans="2:28" s="3" customFormat="1">
      <c r="B33" s="184"/>
      <c r="C33" s="333"/>
      <c r="D33" s="15"/>
      <c r="F33" s="144"/>
      <c r="G33" s="144"/>
      <c r="H33" s="6"/>
      <c r="I33" s="4"/>
      <c r="J33" s="7"/>
      <c r="K33" s="117"/>
      <c r="L33" s="4"/>
      <c r="M33" s="7"/>
      <c r="O33"/>
      <c r="AB33"/>
    </row>
    <row r="34" spans="2:28" s="3" customFormat="1" ht="18">
      <c r="B34" s="182"/>
      <c r="C34" s="331"/>
      <c r="D34" s="75"/>
      <c r="E34" s="78" t="s">
        <v>0</v>
      </c>
      <c r="F34" s="234"/>
      <c r="G34" s="235"/>
      <c r="H34" s="79"/>
      <c r="I34" s="80"/>
      <c r="J34" s="81"/>
      <c r="K34" s="116"/>
      <c r="L34" s="80"/>
      <c r="M34" s="82"/>
      <c r="O34"/>
      <c r="AB34"/>
    </row>
    <row r="35" spans="2:28" s="3" customFormat="1" ht="18">
      <c r="B35" s="182"/>
      <c r="C35" s="331"/>
      <c r="D35" s="75"/>
      <c r="E35" s="78" t="s">
        <v>256</v>
      </c>
      <c r="F35" s="234"/>
      <c r="G35" s="235"/>
      <c r="H35" s="79"/>
      <c r="I35" s="80"/>
      <c r="J35" s="81"/>
      <c r="K35" s="116"/>
      <c r="L35" s="80"/>
      <c r="M35" s="82"/>
      <c r="O35"/>
      <c r="AB35"/>
    </row>
    <row r="36" spans="2:28" s="3" customFormat="1">
      <c r="B36" s="183"/>
      <c r="C36" s="332"/>
      <c r="D36" s="83"/>
      <c r="E36" s="85"/>
      <c r="F36" s="236"/>
      <c r="G36" s="236"/>
      <c r="H36" s="86"/>
      <c r="I36" s="9"/>
      <c r="J36" s="9"/>
      <c r="K36" s="115"/>
      <c r="L36" s="9"/>
      <c r="M36" s="9"/>
      <c r="O36"/>
      <c r="AB36"/>
    </row>
    <row r="37" spans="2:28" s="3" customFormat="1" ht="23">
      <c r="B37" s="183"/>
      <c r="C37" s="344" t="s">
        <v>251</v>
      </c>
      <c r="D37" s="344"/>
      <c r="E37" s="344"/>
      <c r="F37" s="344"/>
      <c r="G37" s="344"/>
      <c r="H37" s="344"/>
      <c r="I37" s="344"/>
      <c r="J37" s="344"/>
      <c r="K37" s="344"/>
      <c r="L37" s="9"/>
      <c r="M37" s="9"/>
      <c r="N37" s="77"/>
      <c r="O37" s="218"/>
      <c r="P37"/>
      <c r="Q37"/>
      <c r="R37"/>
      <c r="S37"/>
      <c r="T37"/>
      <c r="U37"/>
      <c r="V37"/>
      <c r="W37"/>
      <c r="X37"/>
      <c r="Y37"/>
      <c r="Z37"/>
      <c r="AA37"/>
      <c r="AB37"/>
    </row>
    <row r="38" spans="2:28" s="3" customFormat="1" ht="23">
      <c r="B38" s="69"/>
      <c r="C38" s="344" t="s">
        <v>359</v>
      </c>
      <c r="D38" s="344"/>
      <c r="E38" s="344"/>
      <c r="F38" s="344"/>
      <c r="G38" s="344"/>
      <c r="H38" s="344"/>
      <c r="I38" s="344"/>
      <c r="J38" s="344"/>
      <c r="K38" s="344"/>
      <c r="L38" s="97"/>
      <c r="M38" s="98"/>
      <c r="O38"/>
      <c r="P38"/>
      <c r="Q38"/>
      <c r="R38"/>
      <c r="S38"/>
      <c r="T38"/>
      <c r="U38"/>
      <c r="V38"/>
      <c r="W38"/>
      <c r="X38"/>
      <c r="Y38"/>
      <c r="Z38"/>
      <c r="AA38"/>
      <c r="AB38"/>
    </row>
    <row r="39" spans="2:28" s="3" customFormat="1" ht="24" thickBot="1">
      <c r="B39" s="69"/>
      <c r="C39" s="180"/>
      <c r="D39" s="180"/>
      <c r="E39" s="43"/>
      <c r="F39" s="180"/>
      <c r="G39" s="180"/>
      <c r="H39" s="43"/>
      <c r="I39" s="43"/>
      <c r="J39" s="43"/>
      <c r="K39" s="43"/>
      <c r="L39" s="97"/>
      <c r="M39" s="98"/>
      <c r="O39"/>
      <c r="P39"/>
      <c r="Q39"/>
      <c r="R39"/>
      <c r="S39"/>
      <c r="T39"/>
      <c r="U39"/>
      <c r="V39"/>
      <c r="W39"/>
      <c r="X39"/>
      <c r="Y39"/>
      <c r="Z39"/>
      <c r="AA39"/>
      <c r="AB39"/>
    </row>
    <row r="40" spans="2:28" s="3" customFormat="1" ht="46" thickBot="1">
      <c r="B40" s="211" t="s">
        <v>1</v>
      </c>
      <c r="C40" s="321" t="s">
        <v>2</v>
      </c>
      <c r="D40" s="212" t="s">
        <v>3</v>
      </c>
      <c r="E40" s="212" t="s">
        <v>4</v>
      </c>
      <c r="F40" s="213" t="s">
        <v>5</v>
      </c>
      <c r="G40" s="213" t="s">
        <v>6</v>
      </c>
      <c r="H40" s="214" t="s">
        <v>7</v>
      </c>
      <c r="I40" s="215" t="s">
        <v>8</v>
      </c>
      <c r="J40" s="215" t="s">
        <v>9</v>
      </c>
      <c r="K40" s="216" t="s">
        <v>250</v>
      </c>
      <c r="L40" s="215" t="s">
        <v>10</v>
      </c>
      <c r="M40" s="217" t="s">
        <v>11</v>
      </c>
      <c r="O40"/>
      <c r="P40"/>
      <c r="Q40"/>
      <c r="R40"/>
      <c r="S40"/>
      <c r="T40"/>
      <c r="U40"/>
      <c r="V40"/>
      <c r="W40"/>
      <c r="X40"/>
      <c r="Y40"/>
      <c r="Z40"/>
      <c r="AA40"/>
      <c r="AB40"/>
    </row>
    <row r="41" spans="2:28" s="3" customFormat="1">
      <c r="B41" s="204">
        <v>1</v>
      </c>
      <c r="C41" s="152" t="s">
        <v>307</v>
      </c>
      <c r="D41" s="152" t="s">
        <v>258</v>
      </c>
      <c r="E41" s="205" t="s">
        <v>257</v>
      </c>
      <c r="F41" s="206">
        <v>34799</v>
      </c>
      <c r="G41" s="206">
        <v>34834</v>
      </c>
      <c r="H41" s="207"/>
      <c r="I41" s="208"/>
      <c r="J41" s="209"/>
      <c r="K41" s="150">
        <v>15151515</v>
      </c>
      <c r="L41" s="208"/>
      <c r="M41" s="210">
        <f>K41/118934</f>
        <v>127.39431113054299</v>
      </c>
      <c r="O41"/>
      <c r="P41"/>
      <c r="Q41"/>
      <c r="R41"/>
      <c r="S41"/>
      <c r="T41"/>
      <c r="U41"/>
      <c r="V41"/>
      <c r="W41"/>
      <c r="X41"/>
      <c r="Y41"/>
      <c r="Z41"/>
      <c r="AA41"/>
      <c r="AB41"/>
    </row>
    <row r="42" spans="2:28" s="3" customFormat="1" ht="9" customHeight="1">
      <c r="B42" s="337">
        <v>2</v>
      </c>
      <c r="C42" s="336" t="s">
        <v>306</v>
      </c>
      <c r="D42" s="336" t="s">
        <v>310</v>
      </c>
      <c r="E42" s="338" t="s">
        <v>262</v>
      </c>
      <c r="F42" s="339">
        <v>35158</v>
      </c>
      <c r="G42" s="339">
        <v>35225</v>
      </c>
      <c r="H42" s="99"/>
      <c r="I42" s="67"/>
      <c r="J42" s="66"/>
      <c r="K42" s="357">
        <v>27567890</v>
      </c>
      <c r="L42" s="67"/>
      <c r="M42" s="354">
        <f>K42/142125</f>
        <v>193.96932277924361</v>
      </c>
      <c r="O42"/>
      <c r="P42"/>
      <c r="Q42"/>
      <c r="R42"/>
      <c r="S42"/>
      <c r="T42"/>
      <c r="U42"/>
      <c r="V42"/>
      <c r="W42"/>
      <c r="X42"/>
      <c r="Y42"/>
      <c r="Z42"/>
      <c r="AA42"/>
      <c r="AB42"/>
    </row>
    <row r="43" spans="2:28" s="3" customFormat="1">
      <c r="B43" s="337"/>
      <c r="C43" s="336"/>
      <c r="D43" s="336"/>
      <c r="E43" s="338"/>
      <c r="F43" s="339"/>
      <c r="G43" s="339"/>
      <c r="H43" s="99"/>
      <c r="I43" s="67"/>
      <c r="J43" s="66"/>
      <c r="K43" s="357"/>
      <c r="L43" s="67"/>
      <c r="M43" s="340"/>
      <c r="O43"/>
      <c r="P43"/>
      <c r="Q43"/>
      <c r="R43"/>
      <c r="S43"/>
      <c r="T43"/>
      <c r="U43"/>
      <c r="V43"/>
      <c r="W43"/>
      <c r="X43"/>
      <c r="Y43"/>
      <c r="Z43"/>
      <c r="AA43"/>
      <c r="AB43"/>
    </row>
    <row r="44" spans="2:28" s="3" customFormat="1" ht="36">
      <c r="B44" s="188">
        <v>3</v>
      </c>
      <c r="C44" s="94" t="s">
        <v>342</v>
      </c>
      <c r="D44" s="94" t="s">
        <v>309</v>
      </c>
      <c r="E44" s="37" t="s">
        <v>343</v>
      </c>
      <c r="F44" s="112">
        <v>35582</v>
      </c>
      <c r="G44" s="112">
        <v>35675</v>
      </c>
      <c r="H44" s="99"/>
      <c r="I44" s="67"/>
      <c r="J44" s="66"/>
      <c r="K44" s="118">
        <v>19952474</v>
      </c>
      <c r="L44" s="67"/>
      <c r="M44" s="189">
        <f>K44/172005</f>
        <v>115.9993837388448</v>
      </c>
      <c r="O44"/>
      <c r="P44"/>
      <c r="Q44"/>
      <c r="R44"/>
      <c r="S44"/>
      <c r="T44"/>
      <c r="U44"/>
      <c r="V44"/>
      <c r="W44"/>
      <c r="X44"/>
      <c r="Y44"/>
      <c r="Z44"/>
      <c r="AA44"/>
      <c r="AB44"/>
    </row>
    <row r="45" spans="2:28" s="3" customFormat="1" ht="24">
      <c r="B45" s="188">
        <v>4</v>
      </c>
      <c r="C45" s="94" t="s">
        <v>308</v>
      </c>
      <c r="D45" s="94" t="s">
        <v>266</v>
      </c>
      <c r="E45" s="37" t="s">
        <v>265</v>
      </c>
      <c r="F45" s="128">
        <v>35612</v>
      </c>
      <c r="G45" s="94" t="s">
        <v>267</v>
      </c>
      <c r="H45" s="99"/>
      <c r="I45" s="67"/>
      <c r="J45" s="66"/>
      <c r="K45" s="51">
        <v>22456780</v>
      </c>
      <c r="L45" s="67"/>
      <c r="M45" s="189">
        <f>K45/172005</f>
        <v>130.55887910235168</v>
      </c>
      <c r="O45"/>
      <c r="P45"/>
      <c r="Q45"/>
      <c r="R45"/>
      <c r="S45"/>
      <c r="T45"/>
      <c r="U45"/>
      <c r="V45"/>
      <c r="W45"/>
      <c r="X45"/>
      <c r="Y45"/>
      <c r="Z45"/>
      <c r="AA45"/>
      <c r="AB45"/>
    </row>
    <row r="46" spans="2:28" s="3" customFormat="1">
      <c r="B46" s="190">
        <v>5</v>
      </c>
      <c r="C46" s="53" t="s">
        <v>304</v>
      </c>
      <c r="D46" s="53" t="s">
        <v>268</v>
      </c>
      <c r="E46" s="38" t="s">
        <v>305</v>
      </c>
      <c r="F46" s="131">
        <v>35991</v>
      </c>
      <c r="G46" s="131">
        <v>36098</v>
      </c>
      <c r="H46" s="99"/>
      <c r="I46" s="67"/>
      <c r="J46" s="66"/>
      <c r="K46" s="118">
        <v>15883320</v>
      </c>
      <c r="L46" s="67"/>
      <c r="M46" s="189">
        <f>K46/203826</f>
        <v>77.92587795472609</v>
      </c>
      <c r="O46"/>
      <c r="P46"/>
      <c r="Q46"/>
      <c r="R46"/>
      <c r="S46"/>
      <c r="T46"/>
      <c r="U46"/>
      <c r="V46"/>
      <c r="W46"/>
      <c r="X46"/>
      <c r="Y46"/>
      <c r="Z46"/>
      <c r="AA46"/>
      <c r="AB46"/>
    </row>
    <row r="47" spans="2:28" s="3" customFormat="1" ht="24">
      <c r="B47" s="188">
        <v>6</v>
      </c>
      <c r="C47" s="322" t="s">
        <v>311</v>
      </c>
      <c r="D47" s="53" t="s">
        <v>268</v>
      </c>
      <c r="E47" s="140" t="s">
        <v>303</v>
      </c>
      <c r="F47" s="129">
        <v>36206</v>
      </c>
      <c r="G47" s="129">
        <v>36266</v>
      </c>
      <c r="H47" s="99"/>
      <c r="I47" s="67"/>
      <c r="J47" s="66"/>
      <c r="K47" s="118">
        <v>11500000</v>
      </c>
      <c r="L47" s="67"/>
      <c r="M47" s="189">
        <f>K47/236460</f>
        <v>48.634018438636559</v>
      </c>
      <c r="O47"/>
      <c r="P47"/>
      <c r="Q47"/>
      <c r="R47"/>
      <c r="S47"/>
      <c r="T47"/>
      <c r="U47"/>
      <c r="V47"/>
      <c r="W47"/>
      <c r="X47"/>
      <c r="Y47"/>
      <c r="Z47"/>
      <c r="AA47"/>
      <c r="AB47"/>
    </row>
    <row r="48" spans="2:28" s="3" customFormat="1" ht="36">
      <c r="B48" s="191">
        <v>7</v>
      </c>
      <c r="C48" s="28" t="s">
        <v>285</v>
      </c>
      <c r="D48" s="28" t="s">
        <v>281</v>
      </c>
      <c r="E48" s="37" t="s">
        <v>410</v>
      </c>
      <c r="F48" s="128">
        <v>36295</v>
      </c>
      <c r="G48" s="128">
        <v>36399</v>
      </c>
      <c r="H48" s="99"/>
      <c r="I48" s="67"/>
      <c r="J48" s="66"/>
      <c r="K48" s="155">
        <v>57333200</v>
      </c>
      <c r="L48" s="67"/>
      <c r="M48" s="189">
        <f>K48/236460</f>
        <v>242.46468747356846</v>
      </c>
      <c r="O48"/>
      <c r="P48"/>
      <c r="Q48"/>
      <c r="R48"/>
      <c r="S48"/>
      <c r="T48"/>
      <c r="U48"/>
      <c r="V48"/>
      <c r="W48"/>
      <c r="X48"/>
      <c r="Y48"/>
      <c r="Z48"/>
      <c r="AA48"/>
      <c r="AB48"/>
    </row>
    <row r="49" spans="2:28" s="3" customFormat="1">
      <c r="B49" s="351">
        <v>8</v>
      </c>
      <c r="C49" s="336" t="s">
        <v>286</v>
      </c>
      <c r="D49" s="336" t="s">
        <v>281</v>
      </c>
      <c r="E49" s="338" t="s">
        <v>269</v>
      </c>
      <c r="F49" s="339">
        <v>36495</v>
      </c>
      <c r="G49" s="339">
        <v>36707</v>
      </c>
      <c r="H49" s="99"/>
      <c r="I49" s="67"/>
      <c r="J49" s="66"/>
      <c r="K49" s="357">
        <v>39750000</v>
      </c>
      <c r="L49" s="67"/>
      <c r="M49" s="354">
        <v>2261.4113676731795</v>
      </c>
      <c r="O49"/>
      <c r="P49"/>
      <c r="Q49"/>
      <c r="R49"/>
      <c r="S49"/>
      <c r="T49"/>
      <c r="U49"/>
      <c r="V49"/>
      <c r="W49"/>
      <c r="X49"/>
      <c r="Y49"/>
      <c r="Z49"/>
      <c r="AA49"/>
      <c r="AB49"/>
    </row>
    <row r="50" spans="2:28" s="3" customFormat="1">
      <c r="B50" s="347"/>
      <c r="C50" s="336"/>
      <c r="D50" s="336"/>
      <c r="E50" s="338"/>
      <c r="F50" s="339"/>
      <c r="G50" s="339"/>
      <c r="H50" s="99"/>
      <c r="I50" s="67"/>
      <c r="J50" s="66"/>
      <c r="K50" s="357"/>
      <c r="L50" s="67"/>
      <c r="M50" s="340"/>
      <c r="O50"/>
      <c r="P50"/>
      <c r="Q50"/>
      <c r="R50"/>
      <c r="S50"/>
      <c r="T50"/>
      <c r="U50"/>
      <c r="V50"/>
      <c r="W50"/>
      <c r="X50"/>
      <c r="Y50"/>
      <c r="Z50"/>
      <c r="AA50"/>
      <c r="AB50"/>
    </row>
    <row r="51" spans="2:28" s="3" customFormat="1" ht="48">
      <c r="B51" s="188">
        <v>9</v>
      </c>
      <c r="C51" s="323" t="s">
        <v>346</v>
      </c>
      <c r="D51" s="94" t="s">
        <v>344</v>
      </c>
      <c r="E51" s="37" t="s">
        <v>345</v>
      </c>
      <c r="F51" s="128">
        <v>36697</v>
      </c>
      <c r="G51" s="128">
        <v>36743</v>
      </c>
      <c r="H51" s="99"/>
      <c r="I51" s="67"/>
      <c r="J51" s="66"/>
      <c r="K51" s="118">
        <v>74850000</v>
      </c>
      <c r="L51" s="67"/>
      <c r="M51" s="189">
        <f>K51/260100</f>
        <v>287.77393310265285</v>
      </c>
      <c r="O51"/>
      <c r="P51"/>
      <c r="Q51"/>
      <c r="R51"/>
      <c r="S51"/>
      <c r="T51"/>
      <c r="U51"/>
      <c r="V51"/>
      <c r="W51"/>
      <c r="X51"/>
      <c r="Y51"/>
      <c r="Z51"/>
      <c r="AA51"/>
      <c r="AB51"/>
    </row>
    <row r="52" spans="2:28" s="3" customFormat="1">
      <c r="B52" s="351">
        <v>10</v>
      </c>
      <c r="C52" s="358" t="s">
        <v>287</v>
      </c>
      <c r="D52" s="336" t="s">
        <v>281</v>
      </c>
      <c r="E52" s="338" t="s">
        <v>270</v>
      </c>
      <c r="F52" s="339">
        <v>37098</v>
      </c>
      <c r="G52" s="339">
        <v>37133</v>
      </c>
      <c r="H52" s="99"/>
      <c r="I52" s="67"/>
      <c r="J52" s="66"/>
      <c r="K52" s="357">
        <v>29990000</v>
      </c>
      <c r="L52" s="67"/>
      <c r="M52" s="354">
        <f>K52/286000</f>
        <v>104.86013986013987</v>
      </c>
      <c r="O52"/>
      <c r="P52"/>
      <c r="Q52"/>
      <c r="R52"/>
      <c r="S52"/>
      <c r="T52"/>
      <c r="U52"/>
      <c r="V52"/>
      <c r="W52"/>
      <c r="X52"/>
      <c r="Y52"/>
      <c r="Z52"/>
      <c r="AA52"/>
      <c r="AB52"/>
    </row>
    <row r="53" spans="2:28" s="3" customFormat="1">
      <c r="B53" s="347"/>
      <c r="C53" s="348"/>
      <c r="D53" s="336"/>
      <c r="E53" s="338"/>
      <c r="F53" s="339"/>
      <c r="G53" s="339"/>
      <c r="H53" s="99"/>
      <c r="I53" s="67"/>
      <c r="J53" s="66"/>
      <c r="K53" s="357"/>
      <c r="L53" s="67"/>
      <c r="M53" s="340"/>
      <c r="O53"/>
      <c r="P53"/>
      <c r="Q53"/>
      <c r="R53"/>
      <c r="S53"/>
      <c r="T53"/>
      <c r="U53"/>
      <c r="V53"/>
      <c r="W53"/>
      <c r="X53"/>
      <c r="Y53"/>
      <c r="Z53"/>
      <c r="AA53"/>
      <c r="AB53"/>
    </row>
    <row r="54" spans="2:28" s="3" customFormat="1" ht="36">
      <c r="B54" s="191">
        <v>11</v>
      </c>
      <c r="C54" s="324" t="s">
        <v>79</v>
      </c>
      <c r="D54" s="53" t="s">
        <v>247</v>
      </c>
      <c r="E54" s="38" t="s">
        <v>312</v>
      </c>
      <c r="F54" s="131">
        <v>37796</v>
      </c>
      <c r="G54" s="131">
        <v>37863</v>
      </c>
      <c r="H54" s="39">
        <f t="shared" ref="H54" si="2">G54-F54</f>
        <v>67</v>
      </c>
      <c r="I54" s="40">
        <v>2215983301</v>
      </c>
      <c r="J54" s="41">
        <v>1</v>
      </c>
      <c r="K54" s="119">
        <f>2215983301*0.1</f>
        <v>221598330.10000002</v>
      </c>
      <c r="L54" s="42">
        <f>+K54/2778.21</f>
        <v>79762.987715111536</v>
      </c>
      <c r="M54" s="189">
        <f>K54/332000</f>
        <v>667.46484969879521</v>
      </c>
      <c r="O54"/>
      <c r="P54"/>
      <c r="Q54"/>
      <c r="R54"/>
      <c r="S54"/>
      <c r="T54"/>
      <c r="U54"/>
      <c r="V54"/>
      <c r="W54"/>
      <c r="X54"/>
      <c r="Y54"/>
      <c r="Z54"/>
      <c r="AA54"/>
      <c r="AB54"/>
    </row>
    <row r="55" spans="2:28" s="3" customFormat="1" ht="24">
      <c r="B55" s="191">
        <v>12</v>
      </c>
      <c r="C55" s="324" t="s">
        <v>357</v>
      </c>
      <c r="D55" s="53" t="s">
        <v>355</v>
      </c>
      <c r="E55" s="38" t="s">
        <v>356</v>
      </c>
      <c r="F55" s="131">
        <v>38620</v>
      </c>
      <c r="G55" s="131">
        <v>38711</v>
      </c>
      <c r="H55" s="39"/>
      <c r="I55" s="40"/>
      <c r="J55" s="41"/>
      <c r="K55" s="119">
        <v>23327602</v>
      </c>
      <c r="L55" s="42"/>
      <c r="M55" s="189">
        <f>K55/381500</f>
        <v>61.147056356487546</v>
      </c>
      <c r="O55"/>
      <c r="P55"/>
      <c r="Q55"/>
      <c r="R55"/>
      <c r="S55"/>
      <c r="T55"/>
      <c r="U55"/>
      <c r="V55"/>
      <c r="W55"/>
      <c r="X55"/>
      <c r="Y55"/>
      <c r="Z55"/>
      <c r="AA55"/>
      <c r="AB55"/>
    </row>
    <row r="56" spans="2:28" s="3" customFormat="1" ht="72">
      <c r="B56" s="191">
        <v>13</v>
      </c>
      <c r="C56" s="94" t="s">
        <v>288</v>
      </c>
      <c r="D56" s="94" t="s">
        <v>273</v>
      </c>
      <c r="E56" s="139" t="s">
        <v>272</v>
      </c>
      <c r="F56" s="128">
        <v>38712</v>
      </c>
      <c r="G56" s="128">
        <v>38747</v>
      </c>
      <c r="H56" s="99"/>
      <c r="I56" s="67"/>
      <c r="J56" s="66"/>
      <c r="K56" s="118">
        <v>664500000</v>
      </c>
      <c r="L56" s="67"/>
      <c r="M56" s="189">
        <f>K56/381500</f>
        <v>1741.8086500655309</v>
      </c>
      <c r="O56"/>
      <c r="P56"/>
      <c r="Q56"/>
      <c r="R56"/>
      <c r="S56"/>
      <c r="T56"/>
      <c r="U56"/>
      <c r="V56"/>
      <c r="W56"/>
      <c r="X56"/>
      <c r="Y56"/>
      <c r="Z56"/>
      <c r="AA56"/>
      <c r="AB56"/>
    </row>
    <row r="57" spans="2:28" s="3" customFormat="1" ht="36">
      <c r="B57" s="191">
        <v>14</v>
      </c>
      <c r="C57" s="94" t="s">
        <v>301</v>
      </c>
      <c r="D57" s="94" t="s">
        <v>273</v>
      </c>
      <c r="E57" s="139" t="s">
        <v>302</v>
      </c>
      <c r="F57" s="128">
        <v>38712</v>
      </c>
      <c r="G57" s="128">
        <v>38806</v>
      </c>
      <c r="H57" s="99"/>
      <c r="I57" s="67"/>
      <c r="J57" s="66"/>
      <c r="K57" s="118">
        <v>394500000</v>
      </c>
      <c r="L57" s="67"/>
      <c r="M57" s="189">
        <f>K57/381500</f>
        <v>1034.0760157273919</v>
      </c>
      <c r="O57"/>
      <c r="P57"/>
      <c r="Q57"/>
      <c r="R57"/>
      <c r="S57"/>
      <c r="T57"/>
      <c r="U57"/>
      <c r="V57"/>
      <c r="W57"/>
      <c r="X57"/>
      <c r="Y57"/>
      <c r="Z57"/>
      <c r="AA57"/>
      <c r="AB57"/>
    </row>
    <row r="58" spans="2:28" s="3" customFormat="1" ht="24">
      <c r="B58" s="191">
        <v>15</v>
      </c>
      <c r="C58" s="53" t="s">
        <v>315</v>
      </c>
      <c r="D58" s="53" t="s">
        <v>88</v>
      </c>
      <c r="E58" s="38" t="s">
        <v>324</v>
      </c>
      <c r="F58" s="131">
        <v>38952</v>
      </c>
      <c r="G58" s="131">
        <v>39100</v>
      </c>
      <c r="H58" s="142">
        <v>321568947</v>
      </c>
      <c r="I58" s="141">
        <v>788.16</v>
      </c>
      <c r="J58" s="66"/>
      <c r="K58" s="118">
        <v>32156000</v>
      </c>
      <c r="L58" s="67"/>
      <c r="M58" s="189">
        <f>K58/408000</f>
        <v>78.813725490196077</v>
      </c>
      <c r="O58"/>
      <c r="P58"/>
      <c r="Q58"/>
      <c r="R58"/>
      <c r="S58"/>
      <c r="T58"/>
      <c r="U58"/>
      <c r="V58"/>
      <c r="W58"/>
      <c r="X58"/>
      <c r="Y58"/>
      <c r="Z58"/>
      <c r="AA58"/>
      <c r="AB58"/>
    </row>
    <row r="59" spans="2:28" s="3" customFormat="1" ht="24">
      <c r="B59" s="191">
        <v>16</v>
      </c>
      <c r="C59" s="53" t="s">
        <v>314</v>
      </c>
      <c r="D59" s="53" t="s">
        <v>88</v>
      </c>
      <c r="E59" s="38" t="s">
        <v>325</v>
      </c>
      <c r="F59" s="131">
        <v>38952</v>
      </c>
      <c r="G59" s="131">
        <v>39136</v>
      </c>
      <c r="H59" s="142">
        <v>252314000</v>
      </c>
      <c r="I59" s="141">
        <v>618.41999999999996</v>
      </c>
      <c r="J59" s="66"/>
      <c r="K59" s="118">
        <v>28211000</v>
      </c>
      <c r="L59" s="67"/>
      <c r="M59" s="189">
        <f>K59/408000</f>
        <v>69.144607843137251</v>
      </c>
      <c r="O59"/>
      <c r="P59"/>
      <c r="Q59"/>
      <c r="R59"/>
      <c r="S59"/>
      <c r="T59"/>
      <c r="U59"/>
      <c r="V59"/>
      <c r="W59"/>
      <c r="X59"/>
      <c r="Y59"/>
      <c r="Z59"/>
      <c r="AA59"/>
      <c r="AB59"/>
    </row>
    <row r="60" spans="2:28" s="3" customFormat="1" ht="60">
      <c r="B60" s="191">
        <v>17</v>
      </c>
      <c r="C60" s="53" t="s">
        <v>223</v>
      </c>
      <c r="D60" s="53" t="s">
        <v>224</v>
      </c>
      <c r="E60" s="37" t="s">
        <v>274</v>
      </c>
      <c r="F60" s="128">
        <v>39089</v>
      </c>
      <c r="G60" s="128">
        <v>39301</v>
      </c>
      <c r="H60" s="99"/>
      <c r="I60" s="52">
        <v>433700</v>
      </c>
      <c r="J60" s="66"/>
      <c r="K60" s="119">
        <v>555200000</v>
      </c>
      <c r="L60" s="67"/>
      <c r="M60" s="192">
        <f>+K60/433700</f>
        <v>1280.147567442933</v>
      </c>
      <c r="O60"/>
      <c r="P60"/>
      <c r="Q60"/>
      <c r="R60"/>
      <c r="S60"/>
      <c r="T60"/>
      <c r="U60"/>
      <c r="V60"/>
      <c r="W60"/>
      <c r="X60"/>
      <c r="Y60"/>
      <c r="Z60"/>
      <c r="AA60"/>
      <c r="AB60"/>
    </row>
    <row r="61" spans="2:28" s="3" customFormat="1" ht="96">
      <c r="B61" s="191">
        <v>18</v>
      </c>
      <c r="C61" s="53" t="s">
        <v>300</v>
      </c>
      <c r="D61" s="53" t="s">
        <v>297</v>
      </c>
      <c r="E61" s="37" t="s">
        <v>298</v>
      </c>
      <c r="F61" s="131">
        <v>39416</v>
      </c>
      <c r="G61" s="131">
        <v>39659</v>
      </c>
      <c r="H61" s="99"/>
      <c r="I61" s="52">
        <v>433700</v>
      </c>
      <c r="J61" s="66"/>
      <c r="K61" s="119">
        <v>775520000</v>
      </c>
      <c r="L61" s="67"/>
      <c r="M61" s="192">
        <f>+K61/433700</f>
        <v>1788.1484897394512</v>
      </c>
      <c r="O61"/>
      <c r="P61"/>
      <c r="Q61"/>
      <c r="R61"/>
      <c r="S61"/>
      <c r="T61"/>
      <c r="U61"/>
      <c r="V61"/>
      <c r="W61"/>
      <c r="X61"/>
      <c r="Y61"/>
      <c r="Z61"/>
      <c r="AA61"/>
      <c r="AB61"/>
    </row>
    <row r="62" spans="2:28" s="3" customFormat="1" ht="24">
      <c r="B62" s="191">
        <v>19</v>
      </c>
      <c r="C62" s="17" t="s">
        <v>185</v>
      </c>
      <c r="D62" s="17" t="s">
        <v>184</v>
      </c>
      <c r="E62" s="18" t="s">
        <v>186</v>
      </c>
      <c r="F62" s="132">
        <v>39536</v>
      </c>
      <c r="G62" s="132">
        <v>39720</v>
      </c>
      <c r="H62" s="19">
        <f>+G62-F62</f>
        <v>184</v>
      </c>
      <c r="I62" s="20">
        <v>290000000</v>
      </c>
      <c r="J62" s="21">
        <v>1</v>
      </c>
      <c r="K62" s="120">
        <f>+I62*J62</f>
        <v>290000000</v>
      </c>
      <c r="L62" s="20">
        <f>+K62/2000</f>
        <v>145000</v>
      </c>
      <c r="M62" s="193">
        <f>+K62/461500</f>
        <v>628.385698808234</v>
      </c>
      <c r="O62"/>
      <c r="P62"/>
      <c r="Q62"/>
      <c r="R62"/>
      <c r="S62"/>
      <c r="T62"/>
      <c r="U62"/>
      <c r="V62"/>
      <c r="W62"/>
      <c r="X62"/>
      <c r="Y62"/>
      <c r="Z62"/>
      <c r="AA62"/>
      <c r="AB62"/>
    </row>
    <row r="63" spans="2:28" s="3" customFormat="1" ht="24">
      <c r="B63" s="191">
        <v>20</v>
      </c>
      <c r="C63" s="53" t="s">
        <v>87</v>
      </c>
      <c r="D63" s="53" t="s">
        <v>88</v>
      </c>
      <c r="E63" s="38" t="s">
        <v>313</v>
      </c>
      <c r="F63" s="131">
        <v>39674</v>
      </c>
      <c r="G63" s="131">
        <v>39858</v>
      </c>
      <c r="H63" s="142">
        <v>2537697531</v>
      </c>
      <c r="I63" s="141">
        <v>4927.57</v>
      </c>
      <c r="J63" s="41"/>
      <c r="K63" s="119">
        <v>625430000</v>
      </c>
      <c r="L63" s="67"/>
      <c r="M63" s="192">
        <f>+K63/461500</f>
        <v>1355.2112676056338</v>
      </c>
      <c r="O63"/>
      <c r="P63"/>
      <c r="Q63"/>
      <c r="R63"/>
      <c r="S63"/>
      <c r="T63"/>
      <c r="U63"/>
      <c r="V63"/>
      <c r="W63"/>
      <c r="X63"/>
      <c r="Y63"/>
      <c r="Z63"/>
      <c r="AA63"/>
      <c r="AB63"/>
    </row>
    <row r="64" spans="2:28" s="3" customFormat="1" ht="24">
      <c r="B64" s="191">
        <v>21</v>
      </c>
      <c r="C64" s="324" t="s">
        <v>283</v>
      </c>
      <c r="D64" s="94" t="s">
        <v>281</v>
      </c>
      <c r="E64" s="38" t="s">
        <v>282</v>
      </c>
      <c r="F64" s="131">
        <v>39925</v>
      </c>
      <c r="G64" s="131">
        <v>39986</v>
      </c>
      <c r="H64" s="39">
        <f>G64-F64</f>
        <v>61</v>
      </c>
      <c r="I64" s="40">
        <v>1280345983</v>
      </c>
      <c r="J64" s="41">
        <v>1</v>
      </c>
      <c r="K64" s="119">
        <v>128000000</v>
      </c>
      <c r="L64" s="67"/>
      <c r="M64" s="192">
        <f>+K64/496900</f>
        <v>257.59710203260215</v>
      </c>
      <c r="O64"/>
      <c r="P64"/>
      <c r="Q64"/>
      <c r="R64"/>
      <c r="S64"/>
      <c r="T64"/>
      <c r="U64"/>
      <c r="V64"/>
      <c r="W64"/>
      <c r="X64"/>
      <c r="Y64"/>
      <c r="Z64"/>
      <c r="AA64"/>
      <c r="AB64"/>
    </row>
    <row r="65" spans="1:28" ht="36">
      <c r="B65" s="191">
        <v>22</v>
      </c>
      <c r="C65" s="53" t="s">
        <v>232</v>
      </c>
      <c r="D65" s="53" t="s">
        <v>280</v>
      </c>
      <c r="E65" s="38" t="s">
        <v>326</v>
      </c>
      <c r="F65" s="131">
        <v>40180</v>
      </c>
      <c r="G65" s="131">
        <v>40481</v>
      </c>
      <c r="H65" s="19">
        <f t="shared" ref="H65" si="3">+G65-F65</f>
        <v>301</v>
      </c>
      <c r="I65" s="63">
        <v>515000</v>
      </c>
      <c r="J65" s="95"/>
      <c r="K65" s="119">
        <v>65000000</v>
      </c>
      <c r="L65" s="96"/>
      <c r="M65" s="192">
        <f>+K65/515000</f>
        <v>126.21359223300971</v>
      </c>
      <c r="O65"/>
      <c r="P65"/>
      <c r="Q65"/>
      <c r="R65"/>
      <c r="S65"/>
      <c r="T65"/>
      <c r="U65"/>
      <c r="V65"/>
      <c r="W65"/>
      <c r="X65"/>
      <c r="Y65"/>
      <c r="Z65"/>
      <c r="AA65"/>
      <c r="AB65"/>
    </row>
    <row r="66" spans="1:28" ht="48">
      <c r="B66" s="191">
        <v>23</v>
      </c>
      <c r="C66" s="53" t="s">
        <v>284</v>
      </c>
      <c r="D66" s="53" t="s">
        <v>233</v>
      </c>
      <c r="E66" s="38" t="s">
        <v>275</v>
      </c>
      <c r="F66" s="131">
        <v>40573</v>
      </c>
      <c r="G66" s="131">
        <v>40938</v>
      </c>
      <c r="H66" s="39">
        <f t="shared" ref="H66" si="4">G66-F66</f>
        <v>365</v>
      </c>
      <c r="I66" s="52">
        <v>566700</v>
      </c>
      <c r="J66" s="95"/>
      <c r="K66" s="119">
        <f>3244500000*0.07</f>
        <v>227115000.00000003</v>
      </c>
      <c r="L66" s="96"/>
      <c r="M66" s="192">
        <f>+K66/535600</f>
        <v>424.0384615384616</v>
      </c>
      <c r="O66"/>
      <c r="P66"/>
      <c r="Q66"/>
      <c r="R66"/>
      <c r="S66"/>
      <c r="T66"/>
      <c r="U66"/>
      <c r="V66"/>
      <c r="W66"/>
      <c r="X66"/>
      <c r="Y66"/>
      <c r="Z66"/>
      <c r="AA66"/>
      <c r="AB66"/>
    </row>
    <row r="67" spans="1:28" ht="72">
      <c r="B67" s="191">
        <v>24</v>
      </c>
      <c r="C67" s="53" t="s">
        <v>279</v>
      </c>
      <c r="D67" s="53" t="s">
        <v>233</v>
      </c>
      <c r="E67" s="111" t="s">
        <v>277</v>
      </c>
      <c r="F67" s="131">
        <v>41304</v>
      </c>
      <c r="G67" s="131">
        <v>41304</v>
      </c>
      <c r="H67" s="39">
        <f t="shared" ref="H67" si="5">G67-F67</f>
        <v>0</v>
      </c>
      <c r="I67" s="52">
        <v>566700</v>
      </c>
      <c r="J67" s="95"/>
      <c r="K67" s="119">
        <f>3244500000*0.06</f>
        <v>194670000</v>
      </c>
      <c r="L67" s="96"/>
      <c r="M67" s="192">
        <f>+K67/589500</f>
        <v>330.2290076335878</v>
      </c>
      <c r="O67"/>
      <c r="P67"/>
      <c r="Q67"/>
      <c r="R67"/>
      <c r="S67"/>
      <c r="T67"/>
      <c r="U67"/>
      <c r="V67"/>
      <c r="W67"/>
      <c r="X67"/>
      <c r="Y67"/>
      <c r="Z67"/>
      <c r="AA67"/>
      <c r="AB67"/>
    </row>
    <row r="68" spans="1:28" ht="72">
      <c r="B68" s="191">
        <v>25</v>
      </c>
      <c r="C68" s="53" t="s">
        <v>294</v>
      </c>
      <c r="D68" s="53" t="s">
        <v>293</v>
      </c>
      <c r="E68" s="111" t="s">
        <v>299</v>
      </c>
      <c r="F68" s="131">
        <v>42034</v>
      </c>
      <c r="G68" s="131">
        <v>42215</v>
      </c>
      <c r="H68" s="99"/>
      <c r="I68" s="52">
        <v>433700</v>
      </c>
      <c r="J68" s="66"/>
      <c r="K68" s="119">
        <v>675520000</v>
      </c>
      <c r="L68" s="67"/>
      <c r="M68" s="192">
        <f>+K68/644350</f>
        <v>1048.3743307208815</v>
      </c>
      <c r="O68"/>
      <c r="P68"/>
      <c r="Q68"/>
      <c r="R68"/>
      <c r="S68"/>
      <c r="T68"/>
      <c r="U68"/>
      <c r="V68"/>
      <c r="W68"/>
      <c r="X68"/>
      <c r="Y68"/>
      <c r="Z68"/>
      <c r="AA68"/>
      <c r="AB68"/>
    </row>
    <row r="69" spans="1:28" ht="61" thickBot="1">
      <c r="B69" s="194">
        <v>26</v>
      </c>
      <c r="C69" s="196" t="s">
        <v>278</v>
      </c>
      <c r="D69" s="196" t="s">
        <v>233</v>
      </c>
      <c r="E69" s="195" t="s">
        <v>276</v>
      </c>
      <c r="F69" s="197">
        <v>43342</v>
      </c>
      <c r="G69" s="197">
        <v>43403</v>
      </c>
      <c r="H69" s="198">
        <f t="shared" ref="H69" si="6">G69-F69</f>
        <v>61</v>
      </c>
      <c r="I69" s="199">
        <v>566700</v>
      </c>
      <c r="J69" s="200"/>
      <c r="K69" s="201">
        <v>37500000</v>
      </c>
      <c r="L69" s="202"/>
      <c r="M69" s="203">
        <f>+K69/781242</f>
        <v>48.000491525033219</v>
      </c>
      <c r="O69"/>
      <c r="P69"/>
      <c r="Q69"/>
      <c r="R69"/>
      <c r="S69"/>
      <c r="T69"/>
      <c r="U69"/>
      <c r="V69"/>
      <c r="W69"/>
      <c r="X69"/>
      <c r="Y69"/>
      <c r="Z69"/>
      <c r="AA69"/>
      <c r="AB69"/>
    </row>
    <row r="70" spans="1:28">
      <c r="O70"/>
      <c r="P70"/>
      <c r="Q70"/>
      <c r="R70"/>
      <c r="S70"/>
      <c r="T70"/>
      <c r="U70"/>
      <c r="V70"/>
      <c r="W70"/>
      <c r="X70"/>
      <c r="Y70"/>
      <c r="Z70"/>
      <c r="AA70"/>
      <c r="AB70"/>
    </row>
    <row r="71" spans="1:28">
      <c r="B71" s="29"/>
      <c r="C71" s="70"/>
      <c r="D71" s="70"/>
      <c r="E71" s="68"/>
      <c r="F71" s="134"/>
      <c r="G71" s="134"/>
      <c r="H71" s="55"/>
      <c r="I71" s="145"/>
      <c r="J71" s="165"/>
      <c r="K71" s="121"/>
      <c r="L71" s="166"/>
      <c r="M71" s="147"/>
      <c r="O71"/>
      <c r="P71"/>
      <c r="Q71"/>
      <c r="R71"/>
      <c r="S71"/>
      <c r="T71"/>
      <c r="U71"/>
      <c r="V71"/>
      <c r="W71"/>
      <c r="X71"/>
      <c r="Y71"/>
      <c r="Z71"/>
      <c r="AA71"/>
      <c r="AB71"/>
    </row>
    <row r="72" spans="1:28" ht="18">
      <c r="B72" s="182"/>
      <c r="C72" s="331"/>
      <c r="D72" s="75"/>
      <c r="E72" s="78" t="s">
        <v>0</v>
      </c>
      <c r="H72" s="79"/>
      <c r="I72" s="80"/>
      <c r="J72" s="81"/>
      <c r="K72" s="116"/>
      <c r="L72" s="80"/>
      <c r="M72" s="82"/>
      <c r="O72"/>
      <c r="P72"/>
      <c r="Q72"/>
      <c r="R72"/>
      <c r="S72"/>
      <c r="T72"/>
      <c r="U72"/>
      <c r="V72"/>
      <c r="W72"/>
      <c r="X72"/>
      <c r="Y72"/>
      <c r="Z72"/>
      <c r="AA72"/>
      <c r="AB72"/>
    </row>
    <row r="73" spans="1:28" ht="18">
      <c r="B73" s="182"/>
      <c r="C73" s="331"/>
      <c r="D73" s="75"/>
      <c r="E73" s="78" t="s">
        <v>256</v>
      </c>
      <c r="H73" s="79"/>
      <c r="I73" s="80"/>
      <c r="J73" s="81"/>
      <c r="K73" s="116"/>
      <c r="L73" s="80"/>
      <c r="M73" s="82"/>
      <c r="O73"/>
      <c r="P73"/>
      <c r="Q73"/>
      <c r="R73"/>
      <c r="S73"/>
      <c r="T73"/>
      <c r="U73"/>
      <c r="V73"/>
      <c r="W73"/>
      <c r="X73"/>
      <c r="Y73"/>
      <c r="Z73"/>
      <c r="AA73"/>
      <c r="AB73"/>
    </row>
    <row r="74" spans="1:28" s="10" customFormat="1" ht="4.5" customHeight="1">
      <c r="A74" s="8"/>
      <c r="B74" s="183"/>
      <c r="C74" s="332"/>
      <c r="D74" s="83"/>
      <c r="E74" s="85"/>
      <c r="F74" s="236"/>
      <c r="G74" s="236"/>
      <c r="H74" s="86"/>
      <c r="I74" s="9"/>
      <c r="J74" s="9"/>
      <c r="K74" s="115"/>
      <c r="L74" s="9"/>
      <c r="M74" s="9"/>
      <c r="O74"/>
      <c r="P74"/>
      <c r="Q74"/>
      <c r="R74"/>
      <c r="S74"/>
      <c r="T74"/>
      <c r="U74"/>
      <c r="V74"/>
      <c r="W74"/>
      <c r="X74"/>
      <c r="Y74"/>
      <c r="Z74"/>
      <c r="AA74"/>
      <c r="AB74"/>
    </row>
    <row r="75" spans="1:28" s="10" customFormat="1" ht="23">
      <c r="A75" s="8"/>
      <c r="B75" s="183"/>
      <c r="C75" s="344" t="s">
        <v>392</v>
      </c>
      <c r="D75" s="344"/>
      <c r="E75" s="344"/>
      <c r="F75" s="344"/>
      <c r="G75" s="344"/>
      <c r="H75" s="344"/>
      <c r="I75" s="344"/>
      <c r="J75" s="344"/>
      <c r="K75" s="344"/>
      <c r="L75" s="9"/>
      <c r="M75" s="9"/>
      <c r="O75"/>
      <c r="P75"/>
      <c r="Q75"/>
      <c r="R75"/>
      <c r="S75"/>
      <c r="T75"/>
      <c r="U75"/>
      <c r="V75"/>
      <c r="W75"/>
      <c r="X75"/>
      <c r="Y75"/>
      <c r="Z75"/>
      <c r="AA75"/>
      <c r="AB75"/>
    </row>
    <row r="76" spans="1:28" s="10" customFormat="1" ht="24" thickBot="1">
      <c r="A76" s="8"/>
      <c r="B76" s="29"/>
      <c r="C76" s="344" t="s">
        <v>393</v>
      </c>
      <c r="D76" s="344"/>
      <c r="E76" s="344"/>
      <c r="F76" s="344"/>
      <c r="G76" s="344"/>
      <c r="H76" s="344"/>
      <c r="I76" s="344"/>
      <c r="J76" s="344"/>
      <c r="K76" s="344"/>
      <c r="L76" s="87"/>
      <c r="M76" s="87"/>
      <c r="O76"/>
      <c r="P76"/>
      <c r="Q76"/>
      <c r="R76"/>
      <c r="S76"/>
      <c r="T76"/>
      <c r="U76"/>
      <c r="V76"/>
      <c r="W76"/>
      <c r="X76"/>
      <c r="Y76"/>
      <c r="Z76"/>
      <c r="AA76"/>
      <c r="AB76"/>
    </row>
    <row r="77" spans="1:28" s="10" customFormat="1" ht="40" customHeight="1" thickBot="1">
      <c r="A77" s="8"/>
      <c r="B77" s="211" t="s">
        <v>1</v>
      </c>
      <c r="C77" s="321" t="s">
        <v>2</v>
      </c>
      <c r="D77" s="212" t="s">
        <v>3</v>
      </c>
      <c r="E77" s="212" t="s">
        <v>4</v>
      </c>
      <c r="F77" s="213" t="s">
        <v>5</v>
      </c>
      <c r="G77" s="213" t="s">
        <v>6</v>
      </c>
      <c r="H77" s="214" t="s">
        <v>7</v>
      </c>
      <c r="I77" s="215" t="s">
        <v>8</v>
      </c>
      <c r="J77" s="215" t="s">
        <v>9</v>
      </c>
      <c r="K77" s="216" t="s">
        <v>250</v>
      </c>
      <c r="L77" s="215" t="s">
        <v>10</v>
      </c>
      <c r="M77" s="217" t="s">
        <v>11</v>
      </c>
      <c r="O77"/>
      <c r="P77"/>
      <c r="Q77"/>
      <c r="R77"/>
      <c r="S77"/>
      <c r="T77"/>
      <c r="U77"/>
      <c r="V77"/>
      <c r="W77"/>
      <c r="X77"/>
      <c r="Y77"/>
      <c r="Z77"/>
      <c r="AA77"/>
      <c r="AB77"/>
    </row>
    <row r="78" spans="1:28" s="12" customFormat="1" ht="24">
      <c r="A78" s="11" t="e">
        <f>#REF!-1</f>
        <v>#REF!</v>
      </c>
      <c r="B78" s="263">
        <v>1</v>
      </c>
      <c r="C78" s="278" t="s">
        <v>12</v>
      </c>
      <c r="D78" s="137" t="s">
        <v>13</v>
      </c>
      <c r="E78" s="249" t="s">
        <v>14</v>
      </c>
      <c r="F78" s="250">
        <v>29540</v>
      </c>
      <c r="G78" s="250">
        <v>29782</v>
      </c>
      <c r="H78" s="220">
        <f>+G78-F78</f>
        <v>242</v>
      </c>
      <c r="I78" s="221">
        <v>33654941</v>
      </c>
      <c r="J78" s="222">
        <v>1</v>
      </c>
      <c r="K78" s="251">
        <f>+I78*J78</f>
        <v>33654941</v>
      </c>
      <c r="L78" s="223">
        <f>+K78/59.07</f>
        <v>569746.75808362954</v>
      </c>
      <c r="M78" s="210">
        <f>+K78/11600</f>
        <v>2901.2880172413793</v>
      </c>
      <c r="O78"/>
      <c r="P78"/>
      <c r="Q78"/>
      <c r="R78"/>
      <c r="S78"/>
      <c r="T78"/>
      <c r="U78"/>
      <c r="V78"/>
      <c r="W78"/>
      <c r="X78"/>
      <c r="Y78"/>
      <c r="Z78"/>
      <c r="AA78"/>
      <c r="AB78"/>
    </row>
    <row r="79" spans="1:28" s="12" customFormat="1" ht="24">
      <c r="A79" s="11"/>
      <c r="B79" s="191">
        <v>2</v>
      </c>
      <c r="C79" s="17" t="s">
        <v>323</v>
      </c>
      <c r="D79" s="28" t="s">
        <v>20</v>
      </c>
      <c r="E79" s="33" t="s">
        <v>21</v>
      </c>
      <c r="F79" s="129">
        <v>30498</v>
      </c>
      <c r="G79" s="129">
        <v>30844</v>
      </c>
      <c r="H79" s="34">
        <v>346</v>
      </c>
      <c r="I79" s="88">
        <v>47511510.840000004</v>
      </c>
      <c r="J79" s="36">
        <v>1</v>
      </c>
      <c r="K79" s="113">
        <v>47511510.840000004</v>
      </c>
      <c r="L79" s="89">
        <v>417170.17</v>
      </c>
      <c r="M79" s="224">
        <v>2684.27</v>
      </c>
    </row>
    <row r="80" spans="1:28" s="12" customFormat="1">
      <c r="A80" s="11"/>
      <c r="B80" s="191">
        <v>3</v>
      </c>
      <c r="C80" s="17" t="s">
        <v>22</v>
      </c>
      <c r="D80" s="28" t="s">
        <v>23</v>
      </c>
      <c r="E80" s="33" t="s">
        <v>24</v>
      </c>
      <c r="F80" s="129">
        <v>31843</v>
      </c>
      <c r="G80" s="129">
        <v>32027</v>
      </c>
      <c r="H80" s="39">
        <f>+G80-F80</f>
        <v>184</v>
      </c>
      <c r="I80" s="46">
        <f>40827500+39835000+5593000</f>
        <v>86255500</v>
      </c>
      <c r="J80" s="41">
        <v>1</v>
      </c>
      <c r="K80" s="113">
        <f>+I80*J80</f>
        <v>86255500</v>
      </c>
      <c r="L80" s="42">
        <f>+K80/263.7</f>
        <v>327097.08001516876</v>
      </c>
      <c r="M80" s="189">
        <f>+K80/27000</f>
        <v>3194.6481481481483</v>
      </c>
    </row>
    <row r="81" spans="1:24" s="12" customFormat="1" ht="37" thickBot="1">
      <c r="A81" s="11"/>
      <c r="B81" s="194">
        <v>4</v>
      </c>
      <c r="C81" s="325" t="s">
        <v>81</v>
      </c>
      <c r="D81" s="196" t="s">
        <v>82</v>
      </c>
      <c r="E81" s="195" t="s">
        <v>83</v>
      </c>
      <c r="F81" s="258">
        <v>37623</v>
      </c>
      <c r="G81" s="258">
        <v>38168</v>
      </c>
      <c r="H81" s="198">
        <f>G81-F81</f>
        <v>545</v>
      </c>
      <c r="I81" s="259">
        <v>1531579005</v>
      </c>
      <c r="J81" s="260">
        <v>1</v>
      </c>
      <c r="K81" s="201">
        <v>1531579005</v>
      </c>
      <c r="L81" s="232">
        <f>+K81/2778.21</f>
        <v>551282.66221775895</v>
      </c>
      <c r="M81" s="233">
        <f>K81/332000</f>
        <v>4613.1897740963859</v>
      </c>
    </row>
    <row r="82" spans="1:24" s="12" customFormat="1" ht="5" customHeight="1">
      <c r="A82" s="11"/>
      <c r="B82" s="264"/>
      <c r="C82" s="326"/>
      <c r="D82" s="157"/>
      <c r="E82" s="158"/>
      <c r="F82" s="252"/>
      <c r="G82" s="252"/>
      <c r="H82" s="253"/>
      <c r="I82" s="254"/>
      <c r="J82" s="255"/>
      <c r="K82" s="146"/>
      <c r="L82" s="256"/>
      <c r="M82" s="257"/>
    </row>
    <row r="83" spans="1:24" s="12" customFormat="1" ht="18">
      <c r="A83" s="11"/>
      <c r="B83" s="160"/>
      <c r="C83" s="160"/>
      <c r="D83" s="160"/>
      <c r="E83" s="172" t="s">
        <v>0</v>
      </c>
      <c r="F83" s="237"/>
      <c r="G83" s="237"/>
      <c r="H83" s="173"/>
      <c r="I83" s="161"/>
      <c r="J83" s="16"/>
      <c r="K83" s="107"/>
      <c r="L83" s="107"/>
      <c r="M83" s="107"/>
      <c r="N83" s="107"/>
      <c r="O83" s="107"/>
      <c r="P83" s="107"/>
      <c r="Q83" s="107"/>
      <c r="R83" s="107"/>
      <c r="S83" s="107"/>
      <c r="T83" s="107"/>
      <c r="U83" s="107"/>
      <c r="V83" s="107"/>
      <c r="W83" s="107"/>
      <c r="X83" s="107"/>
    </row>
    <row r="84" spans="1:24" s="12" customFormat="1" ht="18">
      <c r="A84" s="11"/>
      <c r="B84" s="160"/>
      <c r="C84" s="160"/>
      <c r="D84" s="160"/>
      <c r="E84" s="172" t="s">
        <v>256</v>
      </c>
      <c r="F84" s="237"/>
      <c r="G84" s="237"/>
      <c r="H84" s="173"/>
      <c r="I84" s="161"/>
      <c r="J84" s="16"/>
      <c r="K84" s="107"/>
      <c r="L84" s="107"/>
      <c r="M84" s="107"/>
      <c r="N84" s="107"/>
      <c r="O84" s="107"/>
      <c r="P84" s="107"/>
      <c r="Q84" s="107"/>
      <c r="R84" s="107"/>
      <c r="S84" s="107"/>
      <c r="T84" s="107"/>
      <c r="U84" s="107"/>
      <c r="V84" s="107"/>
      <c r="W84" s="107"/>
      <c r="X84" s="107"/>
    </row>
    <row r="85" spans="1:24" s="12" customFormat="1" ht="5" customHeight="1">
      <c r="A85" s="11"/>
      <c r="B85" s="185"/>
      <c r="C85" s="174"/>
      <c r="D85" s="174"/>
      <c r="E85" s="175"/>
      <c r="F85" s="238"/>
      <c r="G85" s="238"/>
      <c r="H85" s="177"/>
      <c r="I85" s="178"/>
      <c r="J85" s="10"/>
      <c r="K85" s="107"/>
      <c r="L85" s="107"/>
      <c r="M85" s="107"/>
      <c r="N85" s="107"/>
      <c r="O85" s="107"/>
      <c r="P85" s="107"/>
      <c r="Q85" s="107"/>
      <c r="R85" s="107"/>
      <c r="S85" s="107"/>
      <c r="T85" s="107"/>
      <c r="U85" s="107"/>
      <c r="V85" s="107"/>
      <c r="W85" s="107"/>
      <c r="X85" s="107"/>
    </row>
    <row r="86" spans="1:24" s="12" customFormat="1" ht="23">
      <c r="A86" s="11"/>
      <c r="B86" s="185"/>
      <c r="C86" s="344" t="s">
        <v>390</v>
      </c>
      <c r="D86" s="344"/>
      <c r="E86" s="344"/>
      <c r="F86" s="344"/>
      <c r="G86" s="344"/>
      <c r="H86" s="344"/>
      <c r="I86" s="344"/>
      <c r="J86" s="344"/>
      <c r="K86" s="344"/>
      <c r="L86" s="107"/>
      <c r="M86" s="107"/>
      <c r="N86" s="107"/>
      <c r="O86" s="107"/>
      <c r="P86" s="107"/>
      <c r="Q86" s="107"/>
      <c r="R86" s="107"/>
      <c r="S86" s="107"/>
      <c r="T86" s="107"/>
      <c r="U86" s="107"/>
      <c r="V86" s="107"/>
      <c r="W86" s="107"/>
      <c r="X86" s="107"/>
    </row>
    <row r="87" spans="1:24" s="12" customFormat="1" ht="24" thickBot="1">
      <c r="A87" s="11"/>
      <c r="B87" s="29"/>
      <c r="C87" s="344" t="s">
        <v>391</v>
      </c>
      <c r="D87" s="344"/>
      <c r="E87" s="344"/>
      <c r="F87" s="344"/>
      <c r="G87" s="344"/>
      <c r="H87" s="344"/>
      <c r="I87" s="344"/>
      <c r="J87" s="344"/>
      <c r="K87" s="344"/>
      <c r="L87" s="58"/>
      <c r="M87" s="59"/>
    </row>
    <row r="88" spans="1:24" s="12" customFormat="1" ht="40" customHeight="1" thickBot="1">
      <c r="A88" s="11"/>
      <c r="B88" s="211" t="s">
        <v>1</v>
      </c>
      <c r="C88" s="321" t="s">
        <v>2</v>
      </c>
      <c r="D88" s="212" t="s">
        <v>3</v>
      </c>
      <c r="E88" s="212" t="s">
        <v>4</v>
      </c>
      <c r="F88" s="213" t="s">
        <v>5</v>
      </c>
      <c r="G88" s="213" t="s">
        <v>6</v>
      </c>
      <c r="H88" s="214" t="s">
        <v>7</v>
      </c>
      <c r="I88" s="215" t="s">
        <v>8</v>
      </c>
      <c r="J88" s="215" t="s">
        <v>9</v>
      </c>
      <c r="K88" s="216" t="s">
        <v>250</v>
      </c>
      <c r="L88" s="215" t="s">
        <v>10</v>
      </c>
      <c r="M88" s="217" t="s">
        <v>11</v>
      </c>
    </row>
    <row r="89" spans="1:24" s="12" customFormat="1" ht="24">
      <c r="A89" s="11" t="e">
        <f>#REF!-1</f>
        <v>#REF!</v>
      </c>
      <c r="B89" s="263">
        <v>1</v>
      </c>
      <c r="C89" s="278" t="s">
        <v>15</v>
      </c>
      <c r="D89" s="137" t="s">
        <v>16</v>
      </c>
      <c r="E89" s="249" t="s">
        <v>17</v>
      </c>
      <c r="F89" s="250">
        <v>29997</v>
      </c>
      <c r="G89" s="250">
        <v>34135</v>
      </c>
      <c r="H89" s="220">
        <f>G89-F89</f>
        <v>4138</v>
      </c>
      <c r="I89" s="261">
        <v>4703063700.2399998</v>
      </c>
      <c r="J89" s="222">
        <v>0.85</v>
      </c>
      <c r="K89" s="251">
        <f>I89*J89</f>
        <v>3997604145.2039995</v>
      </c>
      <c r="L89" s="223">
        <f>+K89/263.7</f>
        <v>15159666.838088736</v>
      </c>
      <c r="M89" s="210">
        <f>K89/81510</f>
        <v>49044.339899447914</v>
      </c>
    </row>
    <row r="90" spans="1:24" s="12" customFormat="1" ht="24">
      <c r="A90" s="11" t="e">
        <f t="shared" ref="A90:A110" si="7">A89-1</f>
        <v>#REF!</v>
      </c>
      <c r="B90" s="191">
        <f>+B89+1</f>
        <v>2</v>
      </c>
      <c r="C90" s="17"/>
      <c r="D90" s="28" t="s">
        <v>18</v>
      </c>
      <c r="E90" s="33" t="s">
        <v>19</v>
      </c>
      <c r="F90" s="129">
        <f>G90-1080</f>
        <v>30056</v>
      </c>
      <c r="G90" s="129">
        <v>31136</v>
      </c>
      <c r="H90" s="39">
        <f>+G90-F90</f>
        <v>1080</v>
      </c>
      <c r="I90" s="46">
        <v>332556575</v>
      </c>
      <c r="J90" s="41">
        <v>1</v>
      </c>
      <c r="K90" s="113">
        <f>+I90*J90</f>
        <v>332556575</v>
      </c>
      <c r="L90" s="42">
        <f>+K90/172.2</f>
        <v>1931222.8513356564</v>
      </c>
      <c r="M90" s="189">
        <f>+K90/20500</f>
        <v>16222.271951219513</v>
      </c>
    </row>
    <row r="91" spans="1:24" s="12" customFormat="1" ht="24">
      <c r="A91" s="11" t="e">
        <f>#REF!-1</f>
        <v>#REF!</v>
      </c>
      <c r="B91" s="191">
        <f t="shared" ref="B91:B114" si="8">+B90+1</f>
        <v>3</v>
      </c>
      <c r="C91" s="17" t="s">
        <v>25</v>
      </c>
      <c r="D91" s="28" t="s">
        <v>16</v>
      </c>
      <c r="E91" s="33" t="s">
        <v>26</v>
      </c>
      <c r="F91" s="129">
        <v>32704</v>
      </c>
      <c r="G91" s="129">
        <v>34119</v>
      </c>
      <c r="H91" s="39">
        <f t="shared" ref="H91:H128" si="9">G91-F91</f>
        <v>1415</v>
      </c>
      <c r="I91" s="46">
        <v>2055914715</v>
      </c>
      <c r="J91" s="41">
        <v>1</v>
      </c>
      <c r="K91" s="113">
        <f t="shared" ref="K91:K110" si="10">I91*J91</f>
        <v>2055914715</v>
      </c>
      <c r="L91" s="42">
        <f>+K91/638.61</f>
        <v>3219358.787053131</v>
      </c>
      <c r="M91" s="189">
        <f>K91/81510</f>
        <v>25222.852594773649</v>
      </c>
    </row>
    <row r="92" spans="1:24" s="12" customFormat="1" ht="24">
      <c r="A92" s="11" t="e">
        <f t="shared" si="7"/>
        <v>#REF!</v>
      </c>
      <c r="B92" s="191">
        <f t="shared" si="8"/>
        <v>4</v>
      </c>
      <c r="C92" s="17" t="s">
        <v>27</v>
      </c>
      <c r="D92" s="28" t="s">
        <v>16</v>
      </c>
      <c r="E92" s="33" t="s">
        <v>28</v>
      </c>
      <c r="F92" s="129">
        <v>32979</v>
      </c>
      <c r="G92" s="129">
        <v>33866</v>
      </c>
      <c r="H92" s="39">
        <f t="shared" si="9"/>
        <v>887</v>
      </c>
      <c r="I92" s="46">
        <v>3160377481.75</v>
      </c>
      <c r="J92" s="41">
        <v>0.8</v>
      </c>
      <c r="K92" s="113">
        <f t="shared" si="10"/>
        <v>2528301985.4000001</v>
      </c>
      <c r="L92" s="42">
        <f>+K92/638.61</f>
        <v>3959070.4583392055</v>
      </c>
      <c r="M92" s="189">
        <f>K92/65190</f>
        <v>38783.586215677249</v>
      </c>
    </row>
    <row r="93" spans="1:24" s="12" customFormat="1" ht="24">
      <c r="A93" s="11" t="e">
        <f>#REF!-1</f>
        <v>#REF!</v>
      </c>
      <c r="B93" s="191">
        <f t="shared" si="8"/>
        <v>5</v>
      </c>
      <c r="C93" s="17" t="s">
        <v>32</v>
      </c>
      <c r="D93" s="28" t="s">
        <v>95</v>
      </c>
      <c r="E93" s="33" t="s">
        <v>33</v>
      </c>
      <c r="F93" s="129">
        <v>33526</v>
      </c>
      <c r="G93" s="129">
        <v>33739</v>
      </c>
      <c r="H93" s="39">
        <f t="shared" si="9"/>
        <v>213</v>
      </c>
      <c r="I93" s="46">
        <v>941287343.59000003</v>
      </c>
      <c r="J93" s="41">
        <v>1</v>
      </c>
      <c r="K93" s="113">
        <f t="shared" si="10"/>
        <v>941287343.59000003</v>
      </c>
      <c r="L93" s="42">
        <f>+K93/737.98</f>
        <v>1275491.6713054555</v>
      </c>
      <c r="M93" s="189">
        <f>K93/65190</f>
        <v>14439.137039269826</v>
      </c>
    </row>
    <row r="94" spans="1:24" s="12" customFormat="1" ht="24">
      <c r="A94" s="11" t="e">
        <f t="shared" si="7"/>
        <v>#REF!</v>
      </c>
      <c r="B94" s="191">
        <f t="shared" si="8"/>
        <v>6</v>
      </c>
      <c r="C94" s="17" t="s">
        <v>34</v>
      </c>
      <c r="D94" s="28" t="s">
        <v>16</v>
      </c>
      <c r="E94" s="33" t="s">
        <v>35</v>
      </c>
      <c r="F94" s="129">
        <v>33571</v>
      </c>
      <c r="G94" s="129">
        <v>35033</v>
      </c>
      <c r="H94" s="39">
        <f t="shared" si="9"/>
        <v>1462</v>
      </c>
      <c r="I94" s="46">
        <v>5040873182</v>
      </c>
      <c r="J94" s="41">
        <v>1</v>
      </c>
      <c r="K94" s="113">
        <f t="shared" si="10"/>
        <v>5040873182</v>
      </c>
      <c r="L94" s="42">
        <f>+K94/804.33</f>
        <v>6267170.4176146602</v>
      </c>
      <c r="M94" s="189">
        <f>K94/118933.5</f>
        <v>42383.963996687227</v>
      </c>
    </row>
    <row r="95" spans="1:24" s="12" customFormat="1" ht="36">
      <c r="A95" s="11" t="e">
        <f>#REF!-1</f>
        <v>#REF!</v>
      </c>
      <c r="B95" s="191">
        <f t="shared" si="8"/>
        <v>7</v>
      </c>
      <c r="C95" s="17" t="s">
        <v>36</v>
      </c>
      <c r="D95" s="28" t="s">
        <v>253</v>
      </c>
      <c r="E95" s="33" t="s">
        <v>37</v>
      </c>
      <c r="F95" s="129">
        <v>34015</v>
      </c>
      <c r="G95" s="129">
        <v>34454</v>
      </c>
      <c r="H95" s="39">
        <f t="shared" si="9"/>
        <v>439</v>
      </c>
      <c r="I95" s="46">
        <v>2400398105</v>
      </c>
      <c r="J95" s="41">
        <v>1</v>
      </c>
      <c r="K95" s="113">
        <f t="shared" si="10"/>
        <v>2400398105</v>
      </c>
      <c r="L95" s="42">
        <f>+K95/831.27</f>
        <v>2887627.4916693736</v>
      </c>
      <c r="M95" s="189">
        <f>K95/98700</f>
        <v>24320.142907801419</v>
      </c>
    </row>
    <row r="96" spans="1:24" s="12" customFormat="1" ht="36">
      <c r="A96" s="11" t="e">
        <f t="shared" si="7"/>
        <v>#REF!</v>
      </c>
      <c r="B96" s="191">
        <f t="shared" si="8"/>
        <v>8</v>
      </c>
      <c r="C96" s="327" t="s">
        <v>38</v>
      </c>
      <c r="D96" s="28" t="s">
        <v>39</v>
      </c>
      <c r="E96" s="33" t="s">
        <v>40</v>
      </c>
      <c r="F96" s="129">
        <v>34043</v>
      </c>
      <c r="G96" s="129">
        <v>34349</v>
      </c>
      <c r="H96" s="39">
        <f t="shared" si="9"/>
        <v>306</v>
      </c>
      <c r="I96" s="45">
        <f>1015211204+218737357</f>
        <v>1233948561</v>
      </c>
      <c r="J96" s="41">
        <v>1</v>
      </c>
      <c r="K96" s="113">
        <f t="shared" si="10"/>
        <v>1233948561</v>
      </c>
      <c r="L96" s="42">
        <f>+K96/831.27</f>
        <v>1484413.6814753329</v>
      </c>
      <c r="M96" s="189">
        <f>K96/98700</f>
        <v>12502.011762917933</v>
      </c>
    </row>
    <row r="97" spans="1:13" s="12" customFormat="1" ht="36">
      <c r="A97" s="11" t="e">
        <f>#REF!-1</f>
        <v>#REF!</v>
      </c>
      <c r="B97" s="191">
        <f t="shared" si="8"/>
        <v>9</v>
      </c>
      <c r="C97" s="17" t="s">
        <v>41</v>
      </c>
      <c r="D97" s="28" t="s">
        <v>253</v>
      </c>
      <c r="E97" s="33" t="s">
        <v>42</v>
      </c>
      <c r="F97" s="129">
        <v>34206</v>
      </c>
      <c r="G97" s="129">
        <v>34668</v>
      </c>
      <c r="H97" s="39">
        <f t="shared" si="9"/>
        <v>462</v>
      </c>
      <c r="I97" s="46">
        <f>4182163224.1+1431601360.47</f>
        <v>5613764584.5699997</v>
      </c>
      <c r="J97" s="41">
        <v>1</v>
      </c>
      <c r="K97" s="113">
        <f t="shared" si="10"/>
        <v>5613764584.5699997</v>
      </c>
      <c r="L97" s="42">
        <f>+K97/831.27</f>
        <v>6753238.5200596675</v>
      </c>
      <c r="M97" s="189">
        <f>K97/98700</f>
        <v>56877.047462715294</v>
      </c>
    </row>
    <row r="98" spans="1:13" s="12" customFormat="1" ht="36">
      <c r="A98" s="11" t="e">
        <f>#REF!-1</f>
        <v>#REF!</v>
      </c>
      <c r="B98" s="191">
        <f t="shared" si="8"/>
        <v>10</v>
      </c>
      <c r="C98" s="17" t="s">
        <v>43</v>
      </c>
      <c r="D98" s="28" t="s">
        <v>253</v>
      </c>
      <c r="E98" s="33" t="s">
        <v>44</v>
      </c>
      <c r="F98" s="129">
        <v>34492</v>
      </c>
      <c r="G98" s="129">
        <v>34668</v>
      </c>
      <c r="H98" s="39">
        <f t="shared" si="9"/>
        <v>176</v>
      </c>
      <c r="I98" s="46">
        <f>1244666343+40786476</f>
        <v>1285452819</v>
      </c>
      <c r="J98" s="41">
        <v>1</v>
      </c>
      <c r="K98" s="113">
        <f t="shared" si="10"/>
        <v>1285452819</v>
      </c>
      <c r="L98" s="42">
        <f>+K98/831.27</f>
        <v>1546372.2003681115</v>
      </c>
      <c r="M98" s="189">
        <f>K98/98700</f>
        <v>13023.838085106383</v>
      </c>
    </row>
    <row r="99" spans="1:13" s="12" customFormat="1" ht="36">
      <c r="A99" s="11" t="e">
        <f>#REF!-1</f>
        <v>#REF!</v>
      </c>
      <c r="B99" s="191">
        <f t="shared" si="8"/>
        <v>11</v>
      </c>
      <c r="C99" s="17" t="s">
        <v>45</v>
      </c>
      <c r="D99" s="28" t="s">
        <v>254</v>
      </c>
      <c r="E99" s="33" t="s">
        <v>46</v>
      </c>
      <c r="F99" s="129">
        <v>34682</v>
      </c>
      <c r="G99" s="129">
        <v>34863</v>
      </c>
      <c r="H99" s="39">
        <f t="shared" si="9"/>
        <v>181</v>
      </c>
      <c r="I99" s="46">
        <f>1678033305+181424154</f>
        <v>1859457459</v>
      </c>
      <c r="J99" s="41">
        <v>1</v>
      </c>
      <c r="K99" s="113">
        <f t="shared" si="10"/>
        <v>1859457459</v>
      </c>
      <c r="L99" s="42">
        <f>+K99/987.65</f>
        <v>1882708.9140889992</v>
      </c>
      <c r="M99" s="189">
        <f>K99/118933.5</f>
        <v>15634.429820025476</v>
      </c>
    </row>
    <row r="100" spans="1:13" s="12" customFormat="1" ht="24">
      <c r="A100" s="11" t="e">
        <f t="shared" si="7"/>
        <v>#REF!</v>
      </c>
      <c r="B100" s="191">
        <f t="shared" si="8"/>
        <v>12</v>
      </c>
      <c r="C100" s="17" t="s">
        <v>47</v>
      </c>
      <c r="D100" s="28" t="s">
        <v>48</v>
      </c>
      <c r="E100" s="33" t="s">
        <v>49</v>
      </c>
      <c r="F100" s="129">
        <v>34683</v>
      </c>
      <c r="G100" s="129">
        <v>35353</v>
      </c>
      <c r="H100" s="39">
        <f t="shared" si="9"/>
        <v>670</v>
      </c>
      <c r="I100" s="45">
        <f>5337649273.6+1023142299.19</f>
        <v>6360791572.7900009</v>
      </c>
      <c r="J100" s="41">
        <v>1</v>
      </c>
      <c r="K100" s="113">
        <f t="shared" si="10"/>
        <v>6360791572.7900009</v>
      </c>
      <c r="L100" s="42">
        <f>+K100/987.65</f>
        <v>6440329.6438920684</v>
      </c>
      <c r="M100" s="189">
        <f>K100/142125</f>
        <v>44754.909922884792</v>
      </c>
    </row>
    <row r="101" spans="1:13" s="12" customFormat="1" ht="24">
      <c r="A101" s="11" t="e">
        <f t="shared" si="7"/>
        <v>#REF!</v>
      </c>
      <c r="B101" s="191">
        <f t="shared" si="8"/>
        <v>13</v>
      </c>
      <c r="C101" s="17" t="s">
        <v>50</v>
      </c>
      <c r="D101" s="28" t="s">
        <v>48</v>
      </c>
      <c r="E101" s="33" t="s">
        <v>51</v>
      </c>
      <c r="F101" s="129">
        <v>34698</v>
      </c>
      <c r="G101" s="129">
        <v>35734</v>
      </c>
      <c r="H101" s="39">
        <f t="shared" si="9"/>
        <v>1036</v>
      </c>
      <c r="I101" s="46">
        <v>7827678501</v>
      </c>
      <c r="J101" s="41">
        <v>1</v>
      </c>
      <c r="K101" s="113">
        <f t="shared" si="10"/>
        <v>7827678501</v>
      </c>
      <c r="L101" s="42">
        <f>+K101/987.65</f>
        <v>7925559.1565838102</v>
      </c>
      <c r="M101" s="189">
        <f>K101/172005</f>
        <v>45508.435807098627</v>
      </c>
    </row>
    <row r="102" spans="1:13" s="12" customFormat="1" ht="36">
      <c r="A102" s="11" t="e">
        <f>#REF!-1</f>
        <v>#REF!</v>
      </c>
      <c r="B102" s="191">
        <f t="shared" si="8"/>
        <v>14</v>
      </c>
      <c r="C102" s="327" t="s">
        <v>52</v>
      </c>
      <c r="D102" s="28" t="s">
        <v>39</v>
      </c>
      <c r="E102" s="33" t="s">
        <v>53</v>
      </c>
      <c r="F102" s="129">
        <v>34773</v>
      </c>
      <c r="G102" s="129">
        <v>35048</v>
      </c>
      <c r="H102" s="39">
        <f t="shared" si="9"/>
        <v>275</v>
      </c>
      <c r="I102" s="45">
        <v>3426856964.75</v>
      </c>
      <c r="J102" s="41">
        <v>1</v>
      </c>
      <c r="K102" s="113">
        <f t="shared" si="10"/>
        <v>3426856964.75</v>
      </c>
      <c r="L102" s="42">
        <f>+K102/987.65</f>
        <v>3469707.8567812485</v>
      </c>
      <c r="M102" s="189">
        <f>K102/118933.5</f>
        <v>28813.218855494877</v>
      </c>
    </row>
    <row r="103" spans="1:13" s="12" customFormat="1" ht="24">
      <c r="A103" s="11" t="e">
        <f>#REF!-1</f>
        <v>#REF!</v>
      </c>
      <c r="B103" s="191">
        <f t="shared" si="8"/>
        <v>15</v>
      </c>
      <c r="C103" s="17" t="s">
        <v>54</v>
      </c>
      <c r="D103" s="28" t="s">
        <v>48</v>
      </c>
      <c r="E103" s="33" t="s">
        <v>55</v>
      </c>
      <c r="F103" s="129">
        <v>34845</v>
      </c>
      <c r="G103" s="129">
        <v>35672</v>
      </c>
      <c r="H103" s="39">
        <f t="shared" si="9"/>
        <v>827</v>
      </c>
      <c r="I103" s="46">
        <f>5184184298+1152305448</f>
        <v>6336489746</v>
      </c>
      <c r="J103" s="41">
        <v>1</v>
      </c>
      <c r="K103" s="113">
        <f t="shared" si="10"/>
        <v>6336489746</v>
      </c>
      <c r="L103" s="42">
        <f>+K103/1005.33</f>
        <v>6302895.3139765048</v>
      </c>
      <c r="M103" s="189">
        <f>K103/172005</f>
        <v>36838.985762041804</v>
      </c>
    </row>
    <row r="104" spans="1:13" s="12" customFormat="1" ht="48">
      <c r="A104" s="11" t="e">
        <f t="shared" si="7"/>
        <v>#REF!</v>
      </c>
      <c r="B104" s="191">
        <f t="shared" si="8"/>
        <v>16</v>
      </c>
      <c r="C104" s="17" t="s">
        <v>56</v>
      </c>
      <c r="D104" s="28" t="s">
        <v>57</v>
      </c>
      <c r="E104" s="33" t="s">
        <v>58</v>
      </c>
      <c r="F104" s="129">
        <v>34895</v>
      </c>
      <c r="G104" s="129">
        <v>35261</v>
      </c>
      <c r="H104" s="39">
        <f t="shared" si="9"/>
        <v>366</v>
      </c>
      <c r="I104" s="46">
        <f>2169503767+1048206908</f>
        <v>3217710675</v>
      </c>
      <c r="J104" s="41">
        <v>1</v>
      </c>
      <c r="K104" s="113">
        <f t="shared" si="10"/>
        <v>3217710675</v>
      </c>
      <c r="L104" s="42">
        <f>+K104/1005.33</f>
        <v>3200651.2040822417</v>
      </c>
      <c r="M104" s="189">
        <f>K104/142125</f>
        <v>22640.004749340369</v>
      </c>
    </row>
    <row r="105" spans="1:13" s="12" customFormat="1" ht="36">
      <c r="A105" s="11" t="e">
        <f>#REF!-1</f>
        <v>#REF!</v>
      </c>
      <c r="B105" s="191">
        <f t="shared" si="8"/>
        <v>17</v>
      </c>
      <c r="C105" s="17" t="s">
        <v>59</v>
      </c>
      <c r="D105" s="28" t="s">
        <v>60</v>
      </c>
      <c r="E105" s="33" t="s">
        <v>61</v>
      </c>
      <c r="F105" s="129">
        <v>35025</v>
      </c>
      <c r="G105" s="129">
        <v>35826</v>
      </c>
      <c r="H105" s="39">
        <f t="shared" si="9"/>
        <v>801</v>
      </c>
      <c r="I105" s="45">
        <v>15477949088</v>
      </c>
      <c r="J105" s="41">
        <v>1</v>
      </c>
      <c r="K105" s="113">
        <f t="shared" si="10"/>
        <v>15477949088</v>
      </c>
      <c r="L105" s="42">
        <f>+K105/1293.58</f>
        <v>11965204.384730749</v>
      </c>
      <c r="M105" s="189">
        <f>K105/203826</f>
        <v>75937.069304210454</v>
      </c>
    </row>
    <row r="106" spans="1:13" s="12" customFormat="1" ht="36">
      <c r="A106" s="11" t="e">
        <f t="shared" si="7"/>
        <v>#REF!</v>
      </c>
      <c r="B106" s="191">
        <f t="shared" si="8"/>
        <v>18</v>
      </c>
      <c r="C106" s="327" t="s">
        <v>62</v>
      </c>
      <c r="D106" s="28" t="s">
        <v>39</v>
      </c>
      <c r="E106" s="33" t="s">
        <v>63</v>
      </c>
      <c r="F106" s="129">
        <v>35144</v>
      </c>
      <c r="G106" s="129">
        <v>35570</v>
      </c>
      <c r="H106" s="39">
        <f t="shared" si="9"/>
        <v>426</v>
      </c>
      <c r="I106" s="45">
        <f>4325882896+615296968</f>
        <v>4941179864</v>
      </c>
      <c r="J106" s="41">
        <v>1</v>
      </c>
      <c r="K106" s="113">
        <f t="shared" si="10"/>
        <v>4941179864</v>
      </c>
      <c r="L106" s="42">
        <f>+K106/1293.58</f>
        <v>3819771.3817467806</v>
      </c>
      <c r="M106" s="189">
        <f>K106/172005</f>
        <v>28726.954821080784</v>
      </c>
    </row>
    <row r="107" spans="1:13" s="12" customFormat="1" ht="36">
      <c r="A107" s="11" t="e">
        <f t="shared" si="7"/>
        <v>#REF!</v>
      </c>
      <c r="B107" s="191">
        <f t="shared" si="8"/>
        <v>19</v>
      </c>
      <c r="C107" s="327" t="s">
        <v>64</v>
      </c>
      <c r="D107" s="28" t="s">
        <v>39</v>
      </c>
      <c r="E107" s="33" t="s">
        <v>65</v>
      </c>
      <c r="F107" s="129">
        <v>35249</v>
      </c>
      <c r="G107" s="129">
        <v>35764</v>
      </c>
      <c r="H107" s="39">
        <f t="shared" si="9"/>
        <v>515</v>
      </c>
      <c r="I107" s="45">
        <v>5863427316</v>
      </c>
      <c r="J107" s="41">
        <v>0.5</v>
      </c>
      <c r="K107" s="113">
        <f t="shared" si="10"/>
        <v>2931713658</v>
      </c>
      <c r="L107" s="42">
        <f>+K107/1293.58</f>
        <v>2266356.6675427882</v>
      </c>
      <c r="M107" s="189">
        <f>K107/172005</f>
        <v>17044.351373506583</v>
      </c>
    </row>
    <row r="108" spans="1:13" s="12" customFormat="1" ht="36">
      <c r="A108" s="11" t="e">
        <f>#REF!-1</f>
        <v>#REF!</v>
      </c>
      <c r="B108" s="191">
        <f t="shared" si="8"/>
        <v>20</v>
      </c>
      <c r="C108" s="17" t="s">
        <v>71</v>
      </c>
      <c r="D108" s="28" t="s">
        <v>48</v>
      </c>
      <c r="E108" s="33" t="s">
        <v>72</v>
      </c>
      <c r="F108" s="129">
        <v>35738</v>
      </c>
      <c r="G108" s="129">
        <v>36222</v>
      </c>
      <c r="H108" s="39">
        <f t="shared" si="9"/>
        <v>484</v>
      </c>
      <c r="I108" s="46">
        <v>11011580392</v>
      </c>
      <c r="J108" s="41">
        <v>0.8</v>
      </c>
      <c r="K108" s="113">
        <f t="shared" si="10"/>
        <v>8809264313.6000004</v>
      </c>
      <c r="L108" s="42">
        <f>+K108/1542.11</f>
        <v>5712474.6701597171</v>
      </c>
      <c r="M108" s="189">
        <f>K108/236460</f>
        <v>37254.775918125692</v>
      </c>
    </row>
    <row r="109" spans="1:13" s="12" customFormat="1" ht="48">
      <c r="A109" s="11" t="e">
        <f>#REF!-1</f>
        <v>#REF!</v>
      </c>
      <c r="B109" s="191">
        <f t="shared" si="8"/>
        <v>21</v>
      </c>
      <c r="C109" s="17" t="s">
        <v>73</v>
      </c>
      <c r="D109" s="28" t="s">
        <v>67</v>
      </c>
      <c r="E109" s="33" t="s">
        <v>74</v>
      </c>
      <c r="F109" s="129">
        <v>36287</v>
      </c>
      <c r="G109" s="129">
        <v>36541</v>
      </c>
      <c r="H109" s="39">
        <f t="shared" si="9"/>
        <v>254</v>
      </c>
      <c r="I109" s="46">
        <v>3752972070</v>
      </c>
      <c r="J109" s="41">
        <v>0.6</v>
      </c>
      <c r="K109" s="113">
        <f t="shared" si="10"/>
        <v>2251783242</v>
      </c>
      <c r="L109" s="42">
        <f>+K109/2229.18</f>
        <v>1010139.7114634082</v>
      </c>
      <c r="M109" s="189">
        <f>K109/260100</f>
        <v>8657.3750173010376</v>
      </c>
    </row>
    <row r="110" spans="1:13" s="12" customFormat="1" ht="24">
      <c r="A110" s="11" t="e">
        <f t="shared" si="7"/>
        <v>#REF!</v>
      </c>
      <c r="B110" s="191">
        <f t="shared" si="8"/>
        <v>22</v>
      </c>
      <c r="C110" s="17" t="s">
        <v>75</v>
      </c>
      <c r="D110" s="28" t="s">
        <v>48</v>
      </c>
      <c r="E110" s="90" t="s">
        <v>255</v>
      </c>
      <c r="F110" s="129">
        <v>36495</v>
      </c>
      <c r="G110" s="129">
        <v>36707</v>
      </c>
      <c r="H110" s="39">
        <f t="shared" si="9"/>
        <v>212</v>
      </c>
      <c r="I110" s="46">
        <v>2184340930</v>
      </c>
      <c r="J110" s="41">
        <v>1</v>
      </c>
      <c r="K110" s="113">
        <f t="shared" si="10"/>
        <v>2184340930</v>
      </c>
      <c r="L110" s="42">
        <f>+K110/2229.18</f>
        <v>979885.39732098801</v>
      </c>
      <c r="M110" s="189">
        <f>K110/260100</f>
        <v>8398.0812379853905</v>
      </c>
    </row>
    <row r="111" spans="1:13" s="12" customFormat="1" ht="36">
      <c r="A111" s="13"/>
      <c r="B111" s="191">
        <f t="shared" si="8"/>
        <v>23</v>
      </c>
      <c r="C111" s="324" t="s">
        <v>76</v>
      </c>
      <c r="D111" s="53" t="s">
        <v>77</v>
      </c>
      <c r="E111" s="38" t="s">
        <v>78</v>
      </c>
      <c r="F111" s="131">
        <v>37648</v>
      </c>
      <c r="G111" s="131">
        <v>38044</v>
      </c>
      <c r="H111" s="39">
        <f t="shared" si="9"/>
        <v>396</v>
      </c>
      <c r="I111" s="40">
        <v>1496624960</v>
      </c>
      <c r="J111" s="41">
        <v>1</v>
      </c>
      <c r="K111" s="119">
        <v>1496624960</v>
      </c>
      <c r="L111" s="42">
        <f>+K111/2778.21</f>
        <v>538701.16369892843</v>
      </c>
      <c r="M111" s="189">
        <f>K111/332000</f>
        <v>4507.9065060240964</v>
      </c>
    </row>
    <row r="112" spans="1:13" s="12" customFormat="1" ht="48">
      <c r="A112" s="14"/>
      <c r="B112" s="191">
        <f t="shared" si="8"/>
        <v>24</v>
      </c>
      <c r="C112" s="324" t="s">
        <v>321</v>
      </c>
      <c r="D112" s="53" t="s">
        <v>84</v>
      </c>
      <c r="E112" s="38" t="s">
        <v>322</v>
      </c>
      <c r="F112" s="131">
        <v>38729</v>
      </c>
      <c r="G112" s="131">
        <v>39490</v>
      </c>
      <c r="H112" s="39">
        <f>G112-F112</f>
        <v>761</v>
      </c>
      <c r="I112" s="40">
        <v>4127289594</v>
      </c>
      <c r="J112" s="41">
        <v>1</v>
      </c>
      <c r="K112" s="119">
        <v>4127289594</v>
      </c>
      <c r="L112" s="42">
        <f>+K112/2014.76</f>
        <v>2048526.6701741151</v>
      </c>
      <c r="M112" s="189">
        <f>K112/433700</f>
        <v>9516.4620567212351</v>
      </c>
    </row>
    <row r="113" spans="1:14" s="12" customFormat="1" ht="36">
      <c r="A113" s="14"/>
      <c r="B113" s="191">
        <f t="shared" si="8"/>
        <v>25</v>
      </c>
      <c r="C113" s="108" t="s">
        <v>320</v>
      </c>
      <c r="D113" s="53" t="s">
        <v>319</v>
      </c>
      <c r="E113" s="38" t="s">
        <v>318</v>
      </c>
      <c r="F113" s="131">
        <v>38698</v>
      </c>
      <c r="G113" s="131">
        <v>39435</v>
      </c>
      <c r="H113" s="39">
        <f>G113-F113</f>
        <v>737</v>
      </c>
      <c r="I113" s="47">
        <f>6669706631*0.7</f>
        <v>4668794641.6999998</v>
      </c>
      <c r="J113" s="41">
        <v>1</v>
      </c>
      <c r="K113" s="119">
        <f>+I113</f>
        <v>4668794641.6999998</v>
      </c>
      <c r="L113" s="42">
        <f>+K113/2014.76</f>
        <v>2317295.6787408921</v>
      </c>
      <c r="M113" s="189">
        <f>K113/433700</f>
        <v>10765.032607101683</v>
      </c>
    </row>
    <row r="114" spans="1:14" s="12" customFormat="1" ht="25" thickBot="1">
      <c r="A114" s="14"/>
      <c r="B114" s="194">
        <f t="shared" si="8"/>
        <v>26</v>
      </c>
      <c r="C114" s="325" t="s">
        <v>87</v>
      </c>
      <c r="D114" s="226" t="s">
        <v>88</v>
      </c>
      <c r="E114" s="195" t="s">
        <v>89</v>
      </c>
      <c r="F114" s="197">
        <v>39925</v>
      </c>
      <c r="G114" s="197">
        <v>40180</v>
      </c>
      <c r="H114" s="198">
        <f>G114-F114</f>
        <v>255</v>
      </c>
      <c r="I114" s="262">
        <v>1280345983</v>
      </c>
      <c r="J114" s="260">
        <v>1</v>
      </c>
      <c r="K114" s="201">
        <v>1280345983</v>
      </c>
      <c r="L114" s="232">
        <f>+K114/2046.2</f>
        <v>625718.88525070867</v>
      </c>
      <c r="M114" s="233">
        <f>K114/496900</f>
        <v>2576.6673032803383</v>
      </c>
    </row>
    <row r="115" spans="1:14" s="12" customFormat="1" ht="6" customHeight="1">
      <c r="A115" s="14"/>
      <c r="B115" s="29"/>
      <c r="C115" s="328"/>
      <c r="D115" s="69"/>
      <c r="E115" s="68"/>
      <c r="F115" s="134"/>
      <c r="G115" s="134"/>
      <c r="H115" s="55"/>
      <c r="I115" s="56"/>
      <c r="J115" s="57"/>
      <c r="K115" s="121"/>
      <c r="L115" s="58"/>
      <c r="M115" s="59"/>
    </row>
    <row r="116" spans="1:14" s="12" customFormat="1" ht="18">
      <c r="A116" s="14"/>
      <c r="B116" s="182"/>
      <c r="C116" s="331"/>
      <c r="D116" s="75"/>
      <c r="E116" s="78" t="s">
        <v>0</v>
      </c>
      <c r="F116" s="234"/>
      <c r="G116" s="235"/>
      <c r="H116" s="79"/>
      <c r="I116" s="80"/>
      <c r="J116" s="81"/>
      <c r="K116" s="116"/>
      <c r="L116" s="80"/>
      <c r="M116" s="82"/>
    </row>
    <row r="117" spans="1:14" s="12" customFormat="1" ht="18">
      <c r="A117" s="14"/>
      <c r="B117" s="182"/>
      <c r="C117" s="181"/>
      <c r="D117" s="75"/>
      <c r="E117" s="78" t="s">
        <v>256</v>
      </c>
      <c r="F117" s="234"/>
      <c r="G117" s="235"/>
      <c r="H117" s="79"/>
      <c r="I117" s="80"/>
      <c r="J117" s="81"/>
      <c r="K117" s="116"/>
      <c r="L117" s="80"/>
      <c r="M117" s="82"/>
    </row>
    <row r="118" spans="1:14" s="12" customFormat="1" ht="6" customHeight="1">
      <c r="A118" s="14"/>
      <c r="B118" s="29"/>
      <c r="C118" s="328"/>
      <c r="D118" s="69"/>
      <c r="E118" s="68"/>
      <c r="F118" s="134"/>
      <c r="G118" s="134"/>
      <c r="H118" s="55"/>
      <c r="I118" s="56"/>
      <c r="J118" s="57"/>
      <c r="K118" s="121"/>
      <c r="L118" s="58"/>
      <c r="M118" s="59"/>
    </row>
    <row r="119" spans="1:14" s="12" customFormat="1" ht="23">
      <c r="A119" s="14"/>
      <c r="B119" s="29"/>
      <c r="C119" s="344" t="s">
        <v>388</v>
      </c>
      <c r="D119" s="344"/>
      <c r="E119" s="344"/>
      <c r="F119" s="344"/>
      <c r="G119" s="344"/>
      <c r="H119" s="344"/>
      <c r="I119" s="344"/>
      <c r="J119" s="344"/>
      <c r="K119" s="344"/>
      <c r="L119" s="58"/>
      <c r="M119" s="59"/>
    </row>
    <row r="120" spans="1:14" s="12" customFormat="1" ht="24" thickBot="1">
      <c r="A120" s="14"/>
      <c r="B120" s="69"/>
      <c r="C120" s="344" t="s">
        <v>389</v>
      </c>
      <c r="D120" s="344"/>
      <c r="E120" s="344"/>
      <c r="F120" s="344"/>
      <c r="G120" s="344"/>
      <c r="H120" s="344"/>
      <c r="I120" s="344"/>
      <c r="J120" s="344"/>
      <c r="K120" s="344"/>
      <c r="L120" s="54"/>
      <c r="M120" s="69"/>
    </row>
    <row r="121" spans="1:14" s="12" customFormat="1" ht="40" customHeight="1" thickBot="1">
      <c r="A121" s="14"/>
      <c r="B121" s="211" t="s">
        <v>1</v>
      </c>
      <c r="C121" s="321" t="s">
        <v>2</v>
      </c>
      <c r="D121" s="212" t="s">
        <v>3</v>
      </c>
      <c r="E121" s="212" t="s">
        <v>4</v>
      </c>
      <c r="F121" s="213" t="s">
        <v>5</v>
      </c>
      <c r="G121" s="213" t="s">
        <v>6</v>
      </c>
      <c r="H121" s="214" t="s">
        <v>7</v>
      </c>
      <c r="I121" s="215" t="s">
        <v>8</v>
      </c>
      <c r="J121" s="215" t="s">
        <v>9</v>
      </c>
      <c r="K121" s="216" t="s">
        <v>250</v>
      </c>
      <c r="L121" s="215" t="s">
        <v>10</v>
      </c>
      <c r="M121" s="217" t="s">
        <v>11</v>
      </c>
    </row>
    <row r="122" spans="1:14" s="12" customFormat="1" ht="24">
      <c r="A122" s="14"/>
      <c r="B122" s="263">
        <v>1</v>
      </c>
      <c r="C122" s="278" t="s">
        <v>29</v>
      </c>
      <c r="D122" s="137" t="s">
        <v>30</v>
      </c>
      <c r="E122" s="249" t="s">
        <v>31</v>
      </c>
      <c r="F122" s="250">
        <v>33057</v>
      </c>
      <c r="G122" s="250">
        <v>33208</v>
      </c>
      <c r="H122" s="220">
        <f t="shared" ref="H122:H127" si="11">G122-F122</f>
        <v>151</v>
      </c>
      <c r="I122" s="261">
        <v>240230300</v>
      </c>
      <c r="J122" s="222">
        <v>1</v>
      </c>
      <c r="K122" s="251">
        <f>I122*J122</f>
        <v>240230300</v>
      </c>
      <c r="L122" s="223">
        <f>+K122/568.73</f>
        <v>422397.79860390694</v>
      </c>
      <c r="M122" s="210">
        <f>K122/41025</f>
        <v>5855.7050578915296</v>
      </c>
    </row>
    <row r="123" spans="1:14" s="12" customFormat="1" ht="24">
      <c r="A123" s="14"/>
      <c r="B123" s="190">
        <v>2</v>
      </c>
      <c r="C123" s="53" t="s">
        <v>121</v>
      </c>
      <c r="D123" s="53" t="s">
        <v>122</v>
      </c>
      <c r="E123" s="38" t="s">
        <v>123</v>
      </c>
      <c r="F123" s="129">
        <v>35612</v>
      </c>
      <c r="G123" s="129">
        <v>35764</v>
      </c>
      <c r="H123" s="39">
        <f t="shared" si="11"/>
        <v>152</v>
      </c>
      <c r="I123" s="91">
        <v>172005</v>
      </c>
      <c r="J123" s="92">
        <v>0.4</v>
      </c>
      <c r="K123" s="122">
        <v>849117200</v>
      </c>
      <c r="L123" s="93"/>
      <c r="M123" s="269">
        <v>4936.58</v>
      </c>
      <c r="N123" s="16"/>
    </row>
    <row r="124" spans="1:14" s="12" customFormat="1" ht="48">
      <c r="A124" s="14"/>
      <c r="B124" s="191">
        <v>3</v>
      </c>
      <c r="C124" s="17" t="s">
        <v>66</v>
      </c>
      <c r="D124" s="28" t="s">
        <v>67</v>
      </c>
      <c r="E124" s="33" t="s">
        <v>68</v>
      </c>
      <c r="F124" s="129">
        <v>35601</v>
      </c>
      <c r="G124" s="129">
        <v>35934</v>
      </c>
      <c r="H124" s="39">
        <f t="shared" si="11"/>
        <v>333</v>
      </c>
      <c r="I124" s="46">
        <f>3226340335+685453915</f>
        <v>3911794250</v>
      </c>
      <c r="J124" s="41">
        <v>0.5</v>
      </c>
      <c r="K124" s="113">
        <f>I124*J124</f>
        <v>1955897125</v>
      </c>
      <c r="L124" s="42">
        <f>+K124/1542.11</f>
        <v>1268325.2978062525</v>
      </c>
      <c r="M124" s="189">
        <f>K124/203826</f>
        <v>9595.9157565766873</v>
      </c>
    </row>
    <row r="125" spans="1:14" s="12" customFormat="1" ht="36">
      <c r="A125" s="14"/>
      <c r="B125" s="191">
        <v>4</v>
      </c>
      <c r="C125" s="17" t="s">
        <v>69</v>
      </c>
      <c r="D125" s="28" t="s">
        <v>246</v>
      </c>
      <c r="E125" s="33" t="s">
        <v>70</v>
      </c>
      <c r="F125" s="129">
        <v>35655</v>
      </c>
      <c r="G125" s="129">
        <v>36240</v>
      </c>
      <c r="H125" s="39">
        <f t="shared" si="11"/>
        <v>585</v>
      </c>
      <c r="I125" s="46">
        <v>9074962425</v>
      </c>
      <c r="J125" s="41">
        <v>0.33329999999999999</v>
      </c>
      <c r="K125" s="113">
        <f>I125*J125</f>
        <v>3024684976.2525001</v>
      </c>
      <c r="L125" s="42">
        <f>+K125/1542.11</f>
        <v>1961393.7891930537</v>
      </c>
      <c r="M125" s="189">
        <f>K125/236460</f>
        <v>12791.529122272266</v>
      </c>
    </row>
    <row r="126" spans="1:14" s="12" customFormat="1" ht="36">
      <c r="A126" s="14"/>
      <c r="B126" s="191">
        <v>5</v>
      </c>
      <c r="C126" s="324" t="s">
        <v>79</v>
      </c>
      <c r="D126" s="53" t="s">
        <v>247</v>
      </c>
      <c r="E126" s="38" t="s">
        <v>80</v>
      </c>
      <c r="F126" s="131">
        <v>37796</v>
      </c>
      <c r="G126" s="131">
        <v>37985</v>
      </c>
      <c r="H126" s="39">
        <f t="shared" si="11"/>
        <v>189</v>
      </c>
      <c r="I126" s="40">
        <v>2215983301</v>
      </c>
      <c r="J126" s="41">
        <v>1</v>
      </c>
      <c r="K126" s="119">
        <v>2215983301</v>
      </c>
      <c r="L126" s="42">
        <f>+K126/2778.21</f>
        <v>797629.87715111533</v>
      </c>
      <c r="M126" s="189">
        <f>K126/332000</f>
        <v>6674.6484969879521</v>
      </c>
    </row>
    <row r="127" spans="1:14" s="12" customFormat="1" ht="24">
      <c r="A127" s="14"/>
      <c r="B127" s="190">
        <v>6</v>
      </c>
      <c r="C127" s="53" t="s">
        <v>157</v>
      </c>
      <c r="D127" s="53" t="s">
        <v>158</v>
      </c>
      <c r="E127" s="38" t="s">
        <v>159</v>
      </c>
      <c r="F127" s="131">
        <v>39021</v>
      </c>
      <c r="G127" s="131">
        <v>39763</v>
      </c>
      <c r="H127" s="48">
        <f t="shared" si="11"/>
        <v>742</v>
      </c>
      <c r="I127" s="49">
        <v>1732678409</v>
      </c>
      <c r="J127" s="50">
        <v>1</v>
      </c>
      <c r="K127" s="51">
        <f>+I127</f>
        <v>1732678409</v>
      </c>
      <c r="L127" s="94"/>
      <c r="M127" s="270">
        <v>3754.45</v>
      </c>
    </row>
    <row r="128" spans="1:14" ht="36">
      <c r="B128" s="191">
        <v>7</v>
      </c>
      <c r="C128" s="324" t="s">
        <v>85</v>
      </c>
      <c r="D128" s="53" t="s">
        <v>86</v>
      </c>
      <c r="E128" s="38" t="s">
        <v>225</v>
      </c>
      <c r="F128" s="131">
        <v>39651</v>
      </c>
      <c r="G128" s="131">
        <v>39843</v>
      </c>
      <c r="H128" s="39">
        <f t="shared" si="9"/>
        <v>192</v>
      </c>
      <c r="I128" s="40">
        <v>2131255148</v>
      </c>
      <c r="J128" s="41">
        <v>1</v>
      </c>
      <c r="K128" s="119">
        <v>2131255148</v>
      </c>
      <c r="L128" s="42">
        <f>+K128/2243.59</f>
        <v>949930.75740219909</v>
      </c>
      <c r="M128" s="189">
        <f>K128/461500</f>
        <v>4618.10432936078</v>
      </c>
    </row>
    <row r="129" spans="1:28" ht="24">
      <c r="B129" s="191">
        <v>8</v>
      </c>
      <c r="C129" s="324" t="s">
        <v>90</v>
      </c>
      <c r="D129" s="94" t="s">
        <v>91</v>
      </c>
      <c r="E129" s="38" t="s">
        <v>99</v>
      </c>
      <c r="F129" s="131">
        <v>40906</v>
      </c>
      <c r="G129" s="131">
        <v>41253</v>
      </c>
      <c r="H129" s="39">
        <f>G129-F129</f>
        <v>347</v>
      </c>
      <c r="I129" s="40">
        <v>2928291962</v>
      </c>
      <c r="J129" s="41">
        <v>1</v>
      </c>
      <c r="K129" s="113">
        <f>I129*J129</f>
        <v>2928291962</v>
      </c>
      <c r="L129" s="42">
        <f>+K129/2046.2</f>
        <v>1431087.8516274069</v>
      </c>
      <c r="M129" s="189">
        <f>K129/496900</f>
        <v>5893.1212759106456</v>
      </c>
    </row>
    <row r="130" spans="1:28" ht="24">
      <c r="B130" s="190">
        <v>9</v>
      </c>
      <c r="C130" s="53" t="s">
        <v>235</v>
      </c>
      <c r="D130" s="53" t="s">
        <v>233</v>
      </c>
      <c r="E130" s="38" t="s">
        <v>236</v>
      </c>
      <c r="F130" s="131">
        <v>40573</v>
      </c>
      <c r="G130" s="131">
        <v>40938</v>
      </c>
      <c r="H130" s="39">
        <f t="shared" ref="H130:H131" si="12">G130-F130</f>
        <v>365</v>
      </c>
      <c r="I130" s="52">
        <v>566700</v>
      </c>
      <c r="J130" s="95"/>
      <c r="K130" s="119">
        <v>3244500000</v>
      </c>
      <c r="L130" s="96"/>
      <c r="M130" s="271">
        <v>5725.25</v>
      </c>
    </row>
    <row r="131" spans="1:28" ht="25" thickBot="1">
      <c r="B131" s="272">
        <v>10</v>
      </c>
      <c r="C131" s="196" t="s">
        <v>244</v>
      </c>
      <c r="D131" s="196" t="s">
        <v>233</v>
      </c>
      <c r="E131" s="195" t="s">
        <v>245</v>
      </c>
      <c r="F131" s="197">
        <v>43250</v>
      </c>
      <c r="G131" s="197">
        <v>43615</v>
      </c>
      <c r="H131" s="198">
        <f t="shared" si="12"/>
        <v>365</v>
      </c>
      <c r="I131" s="199">
        <v>828116</v>
      </c>
      <c r="J131" s="200"/>
      <c r="K131" s="201">
        <v>3811500000</v>
      </c>
      <c r="L131" s="202"/>
      <c r="M131" s="273">
        <v>4602.62</v>
      </c>
    </row>
    <row r="132" spans="1:28" ht="4" customHeight="1">
      <c r="B132" s="162"/>
      <c r="C132" s="162"/>
      <c r="D132" s="162"/>
      <c r="E132" s="163"/>
      <c r="F132" s="164"/>
      <c r="G132" s="164"/>
      <c r="H132" s="220"/>
      <c r="I132" s="265"/>
      <c r="J132" s="266"/>
      <c r="K132" s="148"/>
      <c r="L132" s="267"/>
      <c r="M132" s="268"/>
    </row>
    <row r="133" spans="1:28" ht="18">
      <c r="B133" s="182"/>
      <c r="C133" s="331"/>
      <c r="D133" s="75"/>
      <c r="E133" s="78" t="s">
        <v>0</v>
      </c>
      <c r="H133" s="79"/>
      <c r="I133" s="80"/>
      <c r="J133" s="81"/>
      <c r="K133" s="116"/>
      <c r="L133" s="80"/>
      <c r="M133" s="82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</row>
    <row r="134" spans="1:28" ht="18">
      <c r="B134" s="182"/>
      <c r="C134" s="331"/>
      <c r="D134" s="75"/>
      <c r="E134" s="78" t="s">
        <v>256</v>
      </c>
      <c r="H134" s="79"/>
      <c r="I134" s="80"/>
      <c r="J134" s="81"/>
      <c r="K134" s="116"/>
      <c r="L134" s="80"/>
      <c r="M134" s="82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</row>
    <row r="135" spans="1:28" s="10" customFormat="1" ht="4.5" customHeight="1">
      <c r="A135" s="8"/>
      <c r="B135" s="183"/>
      <c r="C135" s="332"/>
      <c r="D135" s="83"/>
      <c r="E135" s="85"/>
      <c r="F135" s="236"/>
      <c r="G135" s="236"/>
      <c r="H135" s="86"/>
      <c r="I135" s="9"/>
      <c r="J135" s="9"/>
      <c r="K135" s="115"/>
      <c r="L135" s="9"/>
      <c r="M135" s="9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</row>
    <row r="136" spans="1:28" s="10" customFormat="1" ht="23">
      <c r="A136" s="85"/>
      <c r="B136" s="183"/>
      <c r="C136" s="344" t="s">
        <v>386</v>
      </c>
      <c r="D136" s="344"/>
      <c r="E136" s="344"/>
      <c r="F136" s="344"/>
      <c r="G136" s="344"/>
      <c r="H136" s="344"/>
      <c r="I136" s="344"/>
      <c r="J136" s="344"/>
      <c r="K136" s="344"/>
      <c r="L136" s="9"/>
      <c r="M136" s="9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</row>
    <row r="137" spans="1:28" ht="24" thickBot="1">
      <c r="B137" s="29"/>
      <c r="C137" s="344" t="s">
        <v>387</v>
      </c>
      <c r="D137" s="344"/>
      <c r="E137" s="344"/>
      <c r="F137" s="344"/>
      <c r="G137" s="344"/>
      <c r="H137" s="344"/>
      <c r="I137" s="344"/>
      <c r="J137" s="344"/>
      <c r="K137" s="344"/>
      <c r="L137" s="58"/>
      <c r="M137" s="59"/>
    </row>
    <row r="138" spans="1:28" ht="40" customHeight="1" thickBot="1">
      <c r="B138" s="211" t="s">
        <v>1</v>
      </c>
      <c r="C138" s="321" t="s">
        <v>2</v>
      </c>
      <c r="D138" s="212" t="s">
        <v>3</v>
      </c>
      <c r="E138" s="212" t="s">
        <v>4</v>
      </c>
      <c r="F138" s="213" t="s">
        <v>5</v>
      </c>
      <c r="G138" s="213" t="s">
        <v>6</v>
      </c>
      <c r="H138" s="214" t="s">
        <v>7</v>
      </c>
      <c r="I138" s="215" t="s">
        <v>8</v>
      </c>
      <c r="J138" s="215" t="s">
        <v>9</v>
      </c>
      <c r="K138" s="216" t="s">
        <v>250</v>
      </c>
      <c r="L138" s="215" t="s">
        <v>10</v>
      </c>
      <c r="M138" s="217" t="s">
        <v>11</v>
      </c>
    </row>
    <row r="139" spans="1:28" ht="36">
      <c r="B139" s="263">
        <v>1</v>
      </c>
      <c r="C139" s="329" t="s">
        <v>38</v>
      </c>
      <c r="D139" s="137" t="s">
        <v>39</v>
      </c>
      <c r="E139" s="249" t="s">
        <v>96</v>
      </c>
      <c r="F139" s="250">
        <v>34043</v>
      </c>
      <c r="G139" s="250">
        <v>34349</v>
      </c>
      <c r="H139" s="220">
        <f>G139-F139</f>
        <v>306</v>
      </c>
      <c r="I139" s="221">
        <f>1015211204+218737357</f>
        <v>1233948561</v>
      </c>
      <c r="J139" s="222">
        <v>1</v>
      </c>
      <c r="K139" s="251">
        <f>I139*J139*0.1</f>
        <v>123394856.10000001</v>
      </c>
      <c r="L139" s="223">
        <f>+K139/831.27</f>
        <v>148441.3681475333</v>
      </c>
      <c r="M139" s="210">
        <f>K139/98700</f>
        <v>1250.2011762917934</v>
      </c>
    </row>
    <row r="140" spans="1:28" ht="36">
      <c r="B140" s="191">
        <v>2</v>
      </c>
      <c r="C140" s="17" t="s">
        <v>59</v>
      </c>
      <c r="D140" s="28" t="s">
        <v>60</v>
      </c>
      <c r="E140" s="33" t="s">
        <v>97</v>
      </c>
      <c r="F140" s="129">
        <v>35025</v>
      </c>
      <c r="G140" s="129">
        <v>35826</v>
      </c>
      <c r="H140" s="39">
        <f t="shared" ref="H140:H144" si="13">G140-F140</f>
        <v>801</v>
      </c>
      <c r="I140" s="45">
        <v>15477949088</v>
      </c>
      <c r="J140" s="41">
        <v>1</v>
      </c>
      <c r="K140" s="113">
        <f>I140*J140*0.1</f>
        <v>1547794908.8000002</v>
      </c>
      <c r="L140" s="42">
        <f>+K140/1293.58</f>
        <v>1196520.4384730749</v>
      </c>
      <c r="M140" s="189">
        <f>K140/203826</f>
        <v>7593.7069304210463</v>
      </c>
    </row>
    <row r="141" spans="1:28" ht="36">
      <c r="B141" s="191">
        <v>3</v>
      </c>
      <c r="C141" s="330" t="s">
        <v>64</v>
      </c>
      <c r="D141" s="28" t="s">
        <v>39</v>
      </c>
      <c r="E141" s="33" t="s">
        <v>98</v>
      </c>
      <c r="F141" s="129">
        <v>35249</v>
      </c>
      <c r="G141" s="129">
        <v>35764</v>
      </c>
      <c r="H141" s="39">
        <f t="shared" si="13"/>
        <v>515</v>
      </c>
      <c r="I141" s="45">
        <v>5863427316</v>
      </c>
      <c r="J141" s="41">
        <v>0.5</v>
      </c>
      <c r="K141" s="113">
        <f>I141*J141*0.1</f>
        <v>293171365.80000001</v>
      </c>
      <c r="L141" s="42">
        <f>+K141/1293.58</f>
        <v>226635.66675427885</v>
      </c>
      <c r="M141" s="189">
        <f>K141/172005</f>
        <v>1704.4351373506586</v>
      </c>
    </row>
    <row r="142" spans="1:28" ht="24">
      <c r="B142" s="191">
        <v>4</v>
      </c>
      <c r="C142" s="324" t="s">
        <v>315</v>
      </c>
      <c r="D142" s="94" t="s">
        <v>88</v>
      </c>
      <c r="E142" s="38" t="s">
        <v>316</v>
      </c>
      <c r="F142" s="131">
        <v>38952</v>
      </c>
      <c r="G142" s="131">
        <v>39100</v>
      </c>
      <c r="H142" s="39">
        <f>G142-F142</f>
        <v>148</v>
      </c>
      <c r="I142" s="40">
        <f>6600790122+220000000+3330000000</f>
        <v>10150790122</v>
      </c>
      <c r="J142" s="41">
        <v>0.25</v>
      </c>
      <c r="K142" s="113">
        <v>321568947</v>
      </c>
      <c r="L142" s="42">
        <f>+K142/2046.2</f>
        <v>157154.21122079954</v>
      </c>
      <c r="M142" s="189">
        <f>K142/408000</f>
        <v>788.15918382352936</v>
      </c>
    </row>
    <row r="143" spans="1:28" ht="24">
      <c r="B143" s="191">
        <v>5</v>
      </c>
      <c r="C143" s="324" t="s">
        <v>314</v>
      </c>
      <c r="D143" s="94" t="s">
        <v>88</v>
      </c>
      <c r="E143" s="38" t="s">
        <v>317</v>
      </c>
      <c r="F143" s="131">
        <v>38952</v>
      </c>
      <c r="G143" s="131">
        <v>39136</v>
      </c>
      <c r="H143" s="39">
        <f>G143-F143</f>
        <v>184</v>
      </c>
      <c r="I143" s="40">
        <f>6600790122+220000000+3330000000</f>
        <v>10150790122</v>
      </c>
      <c r="J143" s="41">
        <v>0.25</v>
      </c>
      <c r="K143" s="113">
        <v>252314000</v>
      </c>
      <c r="L143" s="42">
        <f>+K143/2046.2</f>
        <v>123308.57198709804</v>
      </c>
      <c r="M143" s="189">
        <f>K143/408000</f>
        <v>618.41666666666663</v>
      </c>
    </row>
    <row r="144" spans="1:28" ht="24">
      <c r="B144" s="190">
        <v>6</v>
      </c>
      <c r="C144" s="53" t="s">
        <v>157</v>
      </c>
      <c r="D144" s="53" t="s">
        <v>222</v>
      </c>
      <c r="E144" s="38" t="s">
        <v>327</v>
      </c>
      <c r="F144" s="131">
        <v>39021</v>
      </c>
      <c r="G144" s="131">
        <v>39763</v>
      </c>
      <c r="H144" s="39">
        <f t="shared" si="13"/>
        <v>742</v>
      </c>
      <c r="I144" s="52">
        <v>433700</v>
      </c>
      <c r="J144" s="66"/>
      <c r="K144" s="119">
        <f>1732678409*0.2</f>
        <v>346535681.80000001</v>
      </c>
      <c r="L144" s="67"/>
      <c r="M144" s="192">
        <f>+K144/I144</f>
        <v>799.02163200368921</v>
      </c>
    </row>
    <row r="145" spans="1:28" ht="25" thickBot="1">
      <c r="B145" s="194">
        <v>7</v>
      </c>
      <c r="C145" s="325" t="s">
        <v>87</v>
      </c>
      <c r="D145" s="226" t="s">
        <v>88</v>
      </c>
      <c r="E145" s="195" t="s">
        <v>248</v>
      </c>
      <c r="F145" s="197">
        <v>39674</v>
      </c>
      <c r="G145" s="197">
        <v>40404</v>
      </c>
      <c r="H145" s="198">
        <f>G145-F145</f>
        <v>730</v>
      </c>
      <c r="I145" s="262">
        <f>6600790122+220000000+3330000000</f>
        <v>10150790122</v>
      </c>
      <c r="J145" s="260">
        <v>0.25</v>
      </c>
      <c r="K145" s="274">
        <f>I145*J145</f>
        <v>2537697530.5</v>
      </c>
      <c r="L145" s="232">
        <f>+K145/2046.2</f>
        <v>1240200.141970482</v>
      </c>
      <c r="M145" s="233">
        <f>K145/515000</f>
        <v>4927.5680203883494</v>
      </c>
    </row>
    <row r="146" spans="1:28" ht="5" customHeight="1">
      <c r="B146" s="29"/>
      <c r="C146" s="181"/>
      <c r="D146" s="181"/>
      <c r="E146"/>
      <c r="F146" s="181"/>
      <c r="G146" s="181"/>
      <c r="H146"/>
      <c r="I146"/>
      <c r="J146"/>
      <c r="K146"/>
      <c r="L146"/>
      <c r="M146"/>
    </row>
    <row r="147" spans="1:28" ht="18">
      <c r="B147" s="182"/>
      <c r="C147" s="331"/>
      <c r="D147" s="75"/>
      <c r="E147" s="78" t="s">
        <v>0</v>
      </c>
      <c r="H147" s="79"/>
      <c r="I147" s="80"/>
      <c r="J147" s="81"/>
      <c r="K147" s="116"/>
      <c r="L147" s="80"/>
      <c r="M147" s="82"/>
      <c r="O147"/>
      <c r="P147"/>
      <c r="Q147"/>
      <c r="R147"/>
      <c r="S147"/>
      <c r="T147"/>
      <c r="U147"/>
      <c r="V147"/>
      <c r="W147"/>
      <c r="X147"/>
      <c r="Y147"/>
      <c r="Z147"/>
      <c r="AA147"/>
      <c r="AB147"/>
    </row>
    <row r="148" spans="1:28" ht="18">
      <c r="B148" s="182"/>
      <c r="C148" s="331"/>
      <c r="D148" s="75"/>
      <c r="E148" s="78" t="s">
        <v>256</v>
      </c>
      <c r="H148" s="79"/>
      <c r="I148" s="80"/>
      <c r="J148" s="81"/>
      <c r="K148" s="116"/>
      <c r="L148" s="80"/>
      <c r="M148" s="82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</row>
    <row r="149" spans="1:28" s="10" customFormat="1" ht="4.5" customHeight="1">
      <c r="A149" s="8"/>
      <c r="B149" s="183"/>
      <c r="C149" s="332"/>
      <c r="D149" s="83"/>
      <c r="E149" s="85"/>
      <c r="F149" s="236"/>
      <c r="G149" s="236"/>
      <c r="H149" s="86"/>
      <c r="I149" s="9"/>
      <c r="J149" s="9"/>
      <c r="K149" s="115"/>
      <c r="L149" s="9"/>
      <c r="M149" s="9"/>
      <c r="O149"/>
      <c r="P149"/>
      <c r="Q149"/>
      <c r="R149"/>
      <c r="S149"/>
      <c r="T149"/>
      <c r="U149"/>
      <c r="V149"/>
      <c r="W149"/>
      <c r="X149"/>
      <c r="Y149"/>
      <c r="Z149"/>
      <c r="AA149"/>
      <c r="AB149"/>
    </row>
    <row r="150" spans="1:28" s="10" customFormat="1" ht="23">
      <c r="A150" s="85"/>
      <c r="B150" s="183"/>
      <c r="C150" s="344" t="s">
        <v>384</v>
      </c>
      <c r="D150" s="344"/>
      <c r="E150" s="344"/>
      <c r="F150" s="344"/>
      <c r="G150" s="344"/>
      <c r="H150" s="344"/>
      <c r="I150" s="344"/>
      <c r="J150" s="344"/>
      <c r="K150" s="344"/>
      <c r="L150" s="9"/>
      <c r="M150" s="9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</row>
    <row r="151" spans="1:28" ht="24" thickBot="1">
      <c r="B151" s="69"/>
      <c r="C151" s="344" t="s">
        <v>385</v>
      </c>
      <c r="D151" s="344"/>
      <c r="E151" s="344"/>
      <c r="F151" s="344"/>
      <c r="G151" s="344"/>
      <c r="H151" s="344"/>
      <c r="I151" s="344"/>
      <c r="J151" s="344"/>
      <c r="K151" s="344"/>
      <c r="L151" s="97"/>
      <c r="M151" s="98"/>
    </row>
    <row r="152" spans="1:28" ht="40" customHeight="1" thickBot="1">
      <c r="B152" s="211" t="s">
        <v>1</v>
      </c>
      <c r="C152" s="321" t="s">
        <v>2</v>
      </c>
      <c r="D152" s="212" t="s">
        <v>3</v>
      </c>
      <c r="E152" s="212" t="s">
        <v>4</v>
      </c>
      <c r="F152" s="213" t="s">
        <v>5</v>
      </c>
      <c r="G152" s="213" t="s">
        <v>6</v>
      </c>
      <c r="H152" s="214" t="s">
        <v>7</v>
      </c>
      <c r="I152" s="215" t="s">
        <v>8</v>
      </c>
      <c r="J152" s="215" t="s">
        <v>9</v>
      </c>
      <c r="K152" s="216" t="s">
        <v>250</v>
      </c>
      <c r="L152" s="215" t="s">
        <v>10</v>
      </c>
      <c r="M152" s="217" t="s">
        <v>11</v>
      </c>
    </row>
    <row r="153" spans="1:28" ht="36">
      <c r="B153" s="277">
        <v>1</v>
      </c>
      <c r="C153" s="278" t="s">
        <v>181</v>
      </c>
      <c r="D153" s="278" t="s">
        <v>182</v>
      </c>
      <c r="E153" s="248" t="s">
        <v>183</v>
      </c>
      <c r="F153" s="279">
        <v>38964</v>
      </c>
      <c r="G153" s="279">
        <v>39208</v>
      </c>
      <c r="H153" s="280">
        <f>+G153-F153</f>
        <v>244</v>
      </c>
      <c r="I153" s="281">
        <v>2228166895</v>
      </c>
      <c r="J153" s="282">
        <v>0.35</v>
      </c>
      <c r="K153" s="283">
        <f>+I153*J153</f>
        <v>779858413.25</v>
      </c>
      <c r="L153" s="281">
        <f>+K153/2000</f>
        <v>389929.20662499999</v>
      </c>
      <c r="M153" s="284">
        <f>+K153/433700</f>
        <v>1798.1517483283376</v>
      </c>
    </row>
    <row r="154" spans="1:28" ht="36">
      <c r="B154" s="275">
        <v>2</v>
      </c>
      <c r="C154" s="17" t="s">
        <v>187</v>
      </c>
      <c r="D154" s="17" t="s">
        <v>188</v>
      </c>
      <c r="E154" s="18" t="s">
        <v>189</v>
      </c>
      <c r="F154" s="132">
        <v>40134</v>
      </c>
      <c r="G154" s="132">
        <v>40423</v>
      </c>
      <c r="H154" s="19">
        <f>+G154-F154</f>
        <v>289</v>
      </c>
      <c r="I154" s="22">
        <v>2708827245</v>
      </c>
      <c r="J154" s="21">
        <v>0.15</v>
      </c>
      <c r="K154" s="120">
        <f>+I154*J154</f>
        <v>406324086.75</v>
      </c>
      <c r="L154" s="20">
        <f>+K154/2000</f>
        <v>203162.04337500001</v>
      </c>
      <c r="M154" s="193">
        <f>+K154/515000</f>
        <v>788.97880922330103</v>
      </c>
    </row>
    <row r="155" spans="1:28" ht="24">
      <c r="B155" s="275">
        <v>3</v>
      </c>
      <c r="C155" s="17" t="s">
        <v>190</v>
      </c>
      <c r="D155" s="17" t="s">
        <v>191</v>
      </c>
      <c r="E155" s="18" t="s">
        <v>192</v>
      </c>
      <c r="F155" s="132">
        <v>40422</v>
      </c>
      <c r="G155" s="132">
        <v>40524</v>
      </c>
      <c r="H155" s="19">
        <f t="shared" ref="H155" si="14">+G155-F155</f>
        <v>102</v>
      </c>
      <c r="I155" s="20">
        <v>280000000</v>
      </c>
      <c r="J155" s="21">
        <v>1</v>
      </c>
      <c r="K155" s="120">
        <f>+I155*J155</f>
        <v>280000000</v>
      </c>
      <c r="L155" s="20">
        <f>+K155/2000</f>
        <v>140000</v>
      </c>
      <c r="M155" s="193">
        <f>+K155/515000</f>
        <v>543.68932038834953</v>
      </c>
    </row>
    <row r="156" spans="1:28" ht="24">
      <c r="B156" s="191">
        <v>4</v>
      </c>
      <c r="C156" s="28" t="s">
        <v>202</v>
      </c>
      <c r="D156" s="28" t="s">
        <v>203</v>
      </c>
      <c r="E156" s="33" t="s">
        <v>204</v>
      </c>
      <c r="F156" s="129">
        <v>41652</v>
      </c>
      <c r="G156" s="129">
        <v>41894</v>
      </c>
      <c r="H156" s="34">
        <v>242</v>
      </c>
      <c r="I156" s="35">
        <v>2150000000</v>
      </c>
      <c r="J156" s="36">
        <v>0.81</v>
      </c>
      <c r="K156" s="113">
        <v>1741500000</v>
      </c>
      <c r="L156" s="35">
        <v>870750</v>
      </c>
      <c r="M156" s="276">
        <v>2827.11</v>
      </c>
    </row>
    <row r="157" spans="1:28" ht="36">
      <c r="B157" s="191">
        <v>5</v>
      </c>
      <c r="C157" s="28" t="s">
        <v>205</v>
      </c>
      <c r="D157" s="28" t="s">
        <v>206</v>
      </c>
      <c r="E157" s="33" t="s">
        <v>207</v>
      </c>
      <c r="F157" s="129">
        <v>41655</v>
      </c>
      <c r="G157" s="129">
        <v>41897</v>
      </c>
      <c r="H157" s="34">
        <v>242</v>
      </c>
      <c r="I157" s="35">
        <v>1634727273</v>
      </c>
      <c r="J157" s="36">
        <v>0.45</v>
      </c>
      <c r="K157" s="113">
        <v>735627272.85000002</v>
      </c>
      <c r="L157" s="35">
        <v>367813.64</v>
      </c>
      <c r="M157" s="276">
        <v>1194.2</v>
      </c>
    </row>
    <row r="158" spans="1:28" ht="36">
      <c r="B158" s="191">
        <v>6</v>
      </c>
      <c r="C158" s="28" t="s">
        <v>208</v>
      </c>
      <c r="D158" s="28" t="s">
        <v>209</v>
      </c>
      <c r="E158" s="33" t="s">
        <v>210</v>
      </c>
      <c r="F158" s="129">
        <v>41674</v>
      </c>
      <c r="G158" s="129">
        <v>41885</v>
      </c>
      <c r="H158" s="34">
        <v>272</v>
      </c>
      <c r="I158" s="35">
        <v>1350000000</v>
      </c>
      <c r="J158" s="36">
        <v>0.4</v>
      </c>
      <c r="K158" s="113">
        <v>1350000000</v>
      </c>
      <c r="L158" s="35">
        <v>731727.15</v>
      </c>
      <c r="M158" s="276">
        <f>+K158/616000</f>
        <v>2191.5584415584417</v>
      </c>
    </row>
    <row r="159" spans="1:28" ht="24">
      <c r="B159" s="191">
        <v>7</v>
      </c>
      <c r="C159" s="334" t="s">
        <v>211</v>
      </c>
      <c r="D159" s="28" t="s">
        <v>203</v>
      </c>
      <c r="E159" s="33" t="s">
        <v>212</v>
      </c>
      <c r="F159" s="129">
        <v>42339</v>
      </c>
      <c r="G159" s="129">
        <v>42781</v>
      </c>
      <c r="H159" s="34">
        <v>442</v>
      </c>
      <c r="I159" s="35">
        <v>7154648830</v>
      </c>
      <c r="J159" s="36">
        <v>0.9</v>
      </c>
      <c r="K159" s="113">
        <v>6439183947</v>
      </c>
      <c r="L159" s="35">
        <v>7775759.2000000002</v>
      </c>
      <c r="M159" s="276">
        <v>10453.219999999999</v>
      </c>
    </row>
    <row r="160" spans="1:28" ht="24">
      <c r="B160" s="191">
        <v>8</v>
      </c>
      <c r="C160" s="324" t="s">
        <v>92</v>
      </c>
      <c r="D160" s="94" t="s">
        <v>93</v>
      </c>
      <c r="E160" s="38" t="s">
        <v>94</v>
      </c>
      <c r="F160" s="131">
        <v>42430</v>
      </c>
      <c r="G160" s="131">
        <v>43160</v>
      </c>
      <c r="H160" s="39">
        <f>G160-F160</f>
        <v>730</v>
      </c>
      <c r="I160" s="40">
        <v>6434289000</v>
      </c>
      <c r="J160" s="41">
        <v>0.5</v>
      </c>
      <c r="K160" s="113">
        <f>I160*J160</f>
        <v>3217144500</v>
      </c>
      <c r="L160" s="42">
        <f>+K160/2046.2</f>
        <v>1572253.2010556152</v>
      </c>
      <c r="M160" s="189">
        <f>K160/689454</f>
        <v>4666.2206615669793</v>
      </c>
    </row>
    <row r="161" spans="2:13" s="3" customFormat="1">
      <c r="B161" s="191"/>
      <c r="C161" s="324"/>
      <c r="D161" s="94"/>
      <c r="E161" s="38"/>
      <c r="F161" s="131"/>
      <c r="G161" s="131"/>
      <c r="H161" s="39"/>
      <c r="I161" s="40"/>
      <c r="J161" s="41"/>
      <c r="K161" s="113"/>
      <c r="L161" s="42"/>
      <c r="M161" s="189"/>
    </row>
    <row r="162" spans="2:13" s="3" customFormat="1" ht="16" thickBot="1">
      <c r="B162" s="194"/>
      <c r="C162" s="325"/>
      <c r="D162" s="226"/>
      <c r="E162" s="195"/>
      <c r="F162" s="197"/>
      <c r="G162" s="197"/>
      <c r="H162" s="198"/>
      <c r="I162" s="262"/>
      <c r="J162" s="260"/>
      <c r="K162" s="274"/>
      <c r="L162" s="232"/>
      <c r="M162" s="233"/>
    </row>
    <row r="163" spans="2:13" s="3" customFormat="1">
      <c r="B163" s="29"/>
      <c r="C163" s="328"/>
      <c r="D163" s="69"/>
      <c r="E163" s="68"/>
      <c r="F163" s="134"/>
      <c r="G163" s="134"/>
      <c r="H163" s="55"/>
      <c r="I163" s="56"/>
      <c r="J163" s="57"/>
      <c r="K163" s="123"/>
      <c r="L163" s="58"/>
      <c r="M163" s="59"/>
    </row>
    <row r="164" spans="2:13" s="3" customFormat="1" ht="18">
      <c r="B164" s="182"/>
      <c r="C164" s="331"/>
      <c r="D164" s="75"/>
      <c r="E164" s="78" t="s">
        <v>0</v>
      </c>
      <c r="F164" s="234"/>
      <c r="G164" s="235"/>
      <c r="H164" s="79"/>
      <c r="I164" s="80"/>
      <c r="J164" s="81"/>
      <c r="K164" s="116"/>
      <c r="L164" s="80"/>
      <c r="M164" s="82"/>
    </row>
    <row r="165" spans="2:13" s="3" customFormat="1" ht="18">
      <c r="B165" s="182"/>
      <c r="C165" s="331"/>
      <c r="D165" s="75"/>
      <c r="E165" s="78" t="s">
        <v>256</v>
      </c>
      <c r="F165" s="234"/>
      <c r="G165" s="235"/>
      <c r="H165" s="79"/>
      <c r="I165" s="80"/>
      <c r="J165" s="81"/>
      <c r="K165" s="116"/>
      <c r="L165" s="80"/>
      <c r="M165" s="82"/>
    </row>
    <row r="166" spans="2:13" s="3" customFormat="1" ht="8" customHeight="1">
      <c r="B166" s="29"/>
      <c r="C166" s="328"/>
      <c r="D166" s="69"/>
      <c r="E166" s="68"/>
      <c r="F166" s="134"/>
      <c r="G166" s="134"/>
      <c r="H166" s="55"/>
      <c r="I166" s="56"/>
      <c r="J166" s="57"/>
      <c r="K166" s="123"/>
      <c r="L166" s="58"/>
      <c r="M166" s="59"/>
    </row>
    <row r="167" spans="2:13" s="3" customFormat="1" ht="23">
      <c r="B167" s="29"/>
      <c r="C167" s="344" t="s">
        <v>383</v>
      </c>
      <c r="D167" s="344"/>
      <c r="E167" s="344"/>
      <c r="F167" s="344"/>
      <c r="G167" s="344"/>
      <c r="H167" s="344"/>
      <c r="I167" s="344"/>
      <c r="J167" s="344"/>
      <c r="K167" s="344"/>
      <c r="L167" s="58"/>
      <c r="M167" s="59"/>
    </row>
    <row r="168" spans="2:13" s="3" customFormat="1" ht="24" thickBot="1">
      <c r="B168" s="29"/>
      <c r="C168" s="344" t="s">
        <v>382</v>
      </c>
      <c r="D168" s="344"/>
      <c r="E168" s="344"/>
      <c r="F168" s="344"/>
      <c r="G168" s="344"/>
      <c r="H168" s="344"/>
      <c r="I168" s="344"/>
      <c r="J168" s="344"/>
      <c r="K168" s="344"/>
      <c r="L168" s="58"/>
      <c r="M168" s="59"/>
    </row>
    <row r="169" spans="2:13" s="3" customFormat="1" ht="47" customHeight="1" thickBot="1">
      <c r="B169" s="211" t="s">
        <v>1</v>
      </c>
      <c r="C169" s="321" t="s">
        <v>2</v>
      </c>
      <c r="D169" s="212" t="s">
        <v>3</v>
      </c>
      <c r="E169" s="212" t="s">
        <v>4</v>
      </c>
      <c r="F169" s="213" t="s">
        <v>5</v>
      </c>
      <c r="G169" s="213" t="s">
        <v>6</v>
      </c>
      <c r="H169" s="214" t="s">
        <v>7</v>
      </c>
      <c r="I169" s="215" t="s">
        <v>8</v>
      </c>
      <c r="J169" s="215" t="s">
        <v>9</v>
      </c>
      <c r="K169" s="216" t="s">
        <v>250</v>
      </c>
      <c r="L169" s="215" t="s">
        <v>10</v>
      </c>
      <c r="M169" s="217" t="s">
        <v>11</v>
      </c>
    </row>
    <row r="170" spans="2:13" s="3" customFormat="1" ht="36">
      <c r="B170" s="288">
        <v>1</v>
      </c>
      <c r="C170" s="162" t="s">
        <v>144</v>
      </c>
      <c r="D170" s="162" t="s">
        <v>145</v>
      </c>
      <c r="E170" s="163" t="s">
        <v>146</v>
      </c>
      <c r="F170" s="289">
        <v>37466</v>
      </c>
      <c r="G170" s="289">
        <v>37649</v>
      </c>
      <c r="H170" s="280">
        <f>+G170-F170</f>
        <v>183</v>
      </c>
      <c r="I170" s="290">
        <v>332000</v>
      </c>
      <c r="J170" s="291">
        <f>+H170/I170</f>
        <v>5.5120481927710841E-4</v>
      </c>
      <c r="K170" s="292">
        <v>138700000</v>
      </c>
      <c r="L170" s="293">
        <f>+H170*K170</f>
        <v>25382100000</v>
      </c>
      <c r="M170" s="294">
        <f>+K170/I170</f>
        <v>417.77108433734941</v>
      </c>
    </row>
    <row r="171" spans="2:13" s="3" customFormat="1" ht="24">
      <c r="B171" s="190">
        <f>+B170+1</f>
        <v>2</v>
      </c>
      <c r="C171" s="53" t="s">
        <v>216</v>
      </c>
      <c r="D171" s="53" t="s">
        <v>217</v>
      </c>
      <c r="E171" s="38" t="s">
        <v>218</v>
      </c>
      <c r="F171" s="131">
        <v>37774</v>
      </c>
      <c r="G171" s="131">
        <v>38137</v>
      </c>
      <c r="H171" s="19">
        <f t="shared" ref="H171:H181" si="15">+G171-F171</f>
        <v>363</v>
      </c>
      <c r="I171" s="52">
        <v>358000</v>
      </c>
      <c r="J171" s="66"/>
      <c r="K171" s="119">
        <v>958500000</v>
      </c>
      <c r="L171" s="67"/>
      <c r="M171" s="192">
        <f>+K171/I171</f>
        <v>2677.3743016759777</v>
      </c>
    </row>
    <row r="172" spans="2:13" s="3" customFormat="1" ht="24">
      <c r="B172" s="190">
        <f t="shared" ref="B172:B181" si="16">+B171+1</f>
        <v>3</v>
      </c>
      <c r="C172" s="17" t="s">
        <v>175</v>
      </c>
      <c r="D172" s="17" t="s">
        <v>176</v>
      </c>
      <c r="E172" s="18" t="s">
        <v>177</v>
      </c>
      <c r="F172" s="132">
        <v>38235</v>
      </c>
      <c r="G172" s="132">
        <v>38487</v>
      </c>
      <c r="H172" s="19">
        <f t="shared" si="15"/>
        <v>252</v>
      </c>
      <c r="I172" s="20">
        <v>2602000000</v>
      </c>
      <c r="J172" s="21">
        <v>0.5</v>
      </c>
      <c r="K172" s="120">
        <f>+I172*J172</f>
        <v>1301000000</v>
      </c>
      <c r="L172" s="20">
        <f>+K172/2000</f>
        <v>650500</v>
      </c>
      <c r="M172" s="193">
        <f>+K172/381000</f>
        <v>3414.6981627296586</v>
      </c>
    </row>
    <row r="173" spans="2:13" s="3" customFormat="1" ht="36">
      <c r="B173" s="190">
        <f t="shared" si="16"/>
        <v>4</v>
      </c>
      <c r="C173" s="28" t="s">
        <v>193</v>
      </c>
      <c r="D173" s="28" t="s">
        <v>194</v>
      </c>
      <c r="E173" s="33" t="s">
        <v>195</v>
      </c>
      <c r="F173" s="129">
        <v>41017</v>
      </c>
      <c r="G173" s="129">
        <v>41261</v>
      </c>
      <c r="H173" s="19">
        <f t="shared" si="15"/>
        <v>244</v>
      </c>
      <c r="I173" s="35">
        <v>1486327296.6500001</v>
      </c>
      <c r="J173" s="36">
        <v>0.5</v>
      </c>
      <c r="K173" s="113">
        <v>743163648.33000004</v>
      </c>
      <c r="L173" s="35">
        <v>371581.82</v>
      </c>
      <c r="M173" s="276">
        <v>1387.53</v>
      </c>
    </row>
    <row r="174" spans="2:13" s="3" customFormat="1" ht="24">
      <c r="B174" s="190">
        <f t="shared" si="16"/>
        <v>5</v>
      </c>
      <c r="C174" s="28" t="s">
        <v>196</v>
      </c>
      <c r="D174" s="28" t="s">
        <v>197</v>
      </c>
      <c r="E174" s="33" t="s">
        <v>198</v>
      </c>
      <c r="F174" s="129">
        <v>41155</v>
      </c>
      <c r="G174" s="129">
        <v>41223</v>
      </c>
      <c r="H174" s="19">
        <f t="shared" si="15"/>
        <v>68</v>
      </c>
      <c r="I174" s="35">
        <v>87705668</v>
      </c>
      <c r="J174" s="36">
        <v>1</v>
      </c>
      <c r="K174" s="113">
        <v>87705668</v>
      </c>
      <c r="L174" s="35">
        <v>43852.83</v>
      </c>
      <c r="M174" s="276">
        <v>163.75</v>
      </c>
    </row>
    <row r="175" spans="2:13" s="3" customFormat="1" ht="24">
      <c r="B175" s="190">
        <f t="shared" si="16"/>
        <v>6</v>
      </c>
      <c r="C175" s="28" t="s">
        <v>199</v>
      </c>
      <c r="D175" s="28" t="s">
        <v>200</v>
      </c>
      <c r="E175" s="33" t="s">
        <v>201</v>
      </c>
      <c r="F175" s="129">
        <v>41620</v>
      </c>
      <c r="G175" s="129">
        <v>41682</v>
      </c>
      <c r="H175" s="19">
        <f t="shared" si="15"/>
        <v>62</v>
      </c>
      <c r="I175" s="35">
        <v>252314000</v>
      </c>
      <c r="J175" s="36">
        <v>1</v>
      </c>
      <c r="K175" s="113">
        <v>252314000</v>
      </c>
      <c r="L175" s="35">
        <v>126157</v>
      </c>
      <c r="M175" s="276">
        <v>409.6</v>
      </c>
    </row>
    <row r="176" spans="2:13" s="3" customFormat="1" ht="36">
      <c r="B176" s="190">
        <f t="shared" si="16"/>
        <v>7</v>
      </c>
      <c r="C176" s="53" t="s">
        <v>226</v>
      </c>
      <c r="D176" s="53" t="s">
        <v>227</v>
      </c>
      <c r="E176" s="38" t="s">
        <v>228</v>
      </c>
      <c r="F176" s="131">
        <v>39828</v>
      </c>
      <c r="G176" s="131">
        <v>40040</v>
      </c>
      <c r="H176" s="19">
        <f t="shared" si="15"/>
        <v>212</v>
      </c>
      <c r="I176" s="52">
        <v>496900</v>
      </c>
      <c r="J176" s="95"/>
      <c r="K176" s="119">
        <v>645790000</v>
      </c>
      <c r="L176" s="96"/>
      <c r="M176" s="271">
        <v>1299.6400000000001</v>
      </c>
    </row>
    <row r="177" spans="1:23" ht="36">
      <c r="B177" s="190">
        <f t="shared" si="16"/>
        <v>8</v>
      </c>
      <c r="C177" s="53" t="s">
        <v>229</v>
      </c>
      <c r="D177" s="53" t="s">
        <v>230</v>
      </c>
      <c r="E177" s="38" t="s">
        <v>231</v>
      </c>
      <c r="F177" s="131">
        <v>40055</v>
      </c>
      <c r="G177" s="131">
        <v>40162</v>
      </c>
      <c r="H177" s="19">
        <f t="shared" si="15"/>
        <v>107</v>
      </c>
      <c r="I177" s="52">
        <v>496900</v>
      </c>
      <c r="J177" s="95"/>
      <c r="K177" s="119">
        <v>415320495</v>
      </c>
      <c r="L177" s="96"/>
      <c r="M177" s="271">
        <v>835.82</v>
      </c>
    </row>
    <row r="178" spans="1:23" ht="36">
      <c r="B178" s="190">
        <f t="shared" si="16"/>
        <v>9</v>
      </c>
      <c r="C178" s="53" t="s">
        <v>232</v>
      </c>
      <c r="D178" s="53" t="s">
        <v>280</v>
      </c>
      <c r="E178" s="38" t="s">
        <v>234</v>
      </c>
      <c r="F178" s="131">
        <v>40180</v>
      </c>
      <c r="G178" s="131">
        <v>40481</v>
      </c>
      <c r="H178" s="19">
        <f t="shared" si="15"/>
        <v>301</v>
      </c>
      <c r="I178" s="63">
        <v>515000</v>
      </c>
      <c r="J178" s="95"/>
      <c r="K178" s="119">
        <v>650000000</v>
      </c>
      <c r="L178" s="96"/>
      <c r="M178" s="271">
        <v>1262.1400000000001</v>
      </c>
    </row>
    <row r="179" spans="1:23" ht="24">
      <c r="B179" s="190">
        <f t="shared" si="16"/>
        <v>10</v>
      </c>
      <c r="C179" s="53" t="s">
        <v>237</v>
      </c>
      <c r="D179" s="53" t="s">
        <v>238</v>
      </c>
      <c r="E179" s="38" t="s">
        <v>239</v>
      </c>
      <c r="F179" s="131">
        <v>41001</v>
      </c>
      <c r="G179" s="131">
        <v>41485</v>
      </c>
      <c r="H179" s="19">
        <f t="shared" si="15"/>
        <v>484</v>
      </c>
      <c r="I179" s="63">
        <v>589500</v>
      </c>
      <c r="J179" s="95"/>
      <c r="K179" s="119">
        <v>1050000000</v>
      </c>
      <c r="L179" s="96"/>
      <c r="M179" s="271">
        <v>1781.17</v>
      </c>
    </row>
    <row r="180" spans="1:23" ht="36">
      <c r="B180" s="190">
        <f t="shared" si="16"/>
        <v>11</v>
      </c>
      <c r="C180" s="53" t="s">
        <v>240</v>
      </c>
      <c r="D180" s="53" t="s">
        <v>233</v>
      </c>
      <c r="E180" s="38" t="s">
        <v>249</v>
      </c>
      <c r="F180" s="131">
        <v>41749</v>
      </c>
      <c r="G180" s="131">
        <v>42732</v>
      </c>
      <c r="H180" s="19">
        <f t="shared" si="15"/>
        <v>983</v>
      </c>
      <c r="I180" s="64">
        <v>616000</v>
      </c>
      <c r="J180" s="66"/>
      <c r="K180" s="119">
        <f>755825000*4</f>
        <v>3023300000</v>
      </c>
      <c r="L180" s="67"/>
      <c r="M180" s="192">
        <f>+K180/I180</f>
        <v>4907.954545454545</v>
      </c>
    </row>
    <row r="181" spans="1:23" ht="37" thickBot="1">
      <c r="B181" s="272">
        <f t="shared" si="16"/>
        <v>12</v>
      </c>
      <c r="C181" s="196" t="s">
        <v>241</v>
      </c>
      <c r="D181" s="196" t="s">
        <v>242</v>
      </c>
      <c r="E181" s="195" t="s">
        <v>243</v>
      </c>
      <c r="F181" s="197">
        <v>42755</v>
      </c>
      <c r="G181" s="197">
        <v>43036</v>
      </c>
      <c r="H181" s="287">
        <f t="shared" si="15"/>
        <v>281</v>
      </c>
      <c r="I181" s="199">
        <v>737717</v>
      </c>
      <c r="J181" s="200"/>
      <c r="K181" s="201">
        <v>353204950</v>
      </c>
      <c r="L181" s="202"/>
      <c r="M181" s="273">
        <v>478.78</v>
      </c>
    </row>
    <row r="182" spans="1:23" ht="8" customHeight="1">
      <c r="B182" s="285"/>
      <c r="C182" s="219"/>
      <c r="D182" s="219"/>
      <c r="E182" s="218"/>
      <c r="F182" s="219"/>
      <c r="G182" s="219"/>
      <c r="H182" s="218"/>
      <c r="I182" s="218"/>
      <c r="J182" s="218"/>
      <c r="K182" s="218"/>
      <c r="L182" s="218"/>
      <c r="M182" s="218"/>
    </row>
    <row r="183" spans="1:23" ht="15" customHeight="1">
      <c r="A183" s="160"/>
      <c r="B183" s="16"/>
      <c r="C183" s="355" t="s">
        <v>0</v>
      </c>
      <c r="D183" s="355"/>
      <c r="E183" s="355"/>
      <c r="F183" s="355"/>
      <c r="G183" s="355"/>
      <c r="H183" s="355"/>
      <c r="I183" s="355"/>
      <c r="J183" s="355"/>
      <c r="K183" s="355"/>
      <c r="L183" s="107"/>
      <c r="M183" s="107"/>
      <c r="N183" s="107"/>
      <c r="O183" s="107"/>
      <c r="P183" s="107"/>
      <c r="Q183" s="107"/>
      <c r="R183" s="107"/>
      <c r="S183" s="107"/>
      <c r="T183" s="107"/>
      <c r="U183" s="107"/>
      <c r="V183" s="107"/>
      <c r="W183" s="107"/>
    </row>
    <row r="184" spans="1:23" ht="18">
      <c r="A184" s="160"/>
      <c r="B184" s="16"/>
      <c r="C184" s="356" t="s">
        <v>256</v>
      </c>
      <c r="D184" s="356"/>
      <c r="E184" s="356"/>
      <c r="F184" s="356"/>
      <c r="G184" s="356"/>
      <c r="H184" s="356"/>
      <c r="I184" s="356"/>
      <c r="J184" s="356"/>
      <c r="K184" s="356"/>
      <c r="L184" s="107"/>
      <c r="M184" s="107"/>
      <c r="N184" s="107"/>
      <c r="O184" s="107"/>
      <c r="P184" s="107"/>
      <c r="Q184" s="107"/>
      <c r="R184" s="107"/>
      <c r="S184" s="107"/>
      <c r="T184" s="107"/>
      <c r="U184" s="107"/>
      <c r="V184" s="107"/>
      <c r="W184" s="107"/>
    </row>
    <row r="185" spans="1:23" ht="7" customHeight="1">
      <c r="A185" s="174"/>
      <c r="B185" s="187"/>
      <c r="C185" s="174"/>
      <c r="D185" s="174"/>
      <c r="E185" s="176"/>
      <c r="F185" s="238"/>
      <c r="G185" s="177"/>
      <c r="H185" s="178"/>
      <c r="I185" s="10"/>
      <c r="J185" s="107"/>
      <c r="K185" s="107"/>
      <c r="L185" s="107"/>
      <c r="M185" s="107"/>
      <c r="N185" s="107"/>
      <c r="O185" s="107"/>
      <c r="P185" s="107"/>
      <c r="Q185" s="107"/>
      <c r="R185" s="107"/>
      <c r="S185" s="107"/>
      <c r="T185" s="107"/>
      <c r="U185" s="107"/>
      <c r="V185" s="107"/>
      <c r="W185" s="107"/>
    </row>
    <row r="186" spans="1:23" ht="23">
      <c r="B186" s="29"/>
      <c r="C186" s="344" t="s">
        <v>362</v>
      </c>
      <c r="D186" s="344"/>
      <c r="E186" s="344"/>
      <c r="F186" s="344"/>
      <c r="G186" s="344"/>
      <c r="H186" s="344"/>
      <c r="I186" s="344"/>
      <c r="J186" s="344"/>
      <c r="K186" s="344"/>
      <c r="L186" s="30"/>
      <c r="M186" s="30"/>
    </row>
    <row r="187" spans="1:23" ht="24" thickBot="1">
      <c r="B187" s="29"/>
      <c r="C187" s="344" t="s">
        <v>361</v>
      </c>
      <c r="D187" s="344"/>
      <c r="E187" s="344"/>
      <c r="F187" s="344"/>
      <c r="G187" s="344"/>
      <c r="H187" s="344"/>
      <c r="I187" s="344"/>
      <c r="J187" s="344"/>
      <c r="K187" s="344"/>
      <c r="L187" s="30"/>
      <c r="M187" s="30"/>
    </row>
    <row r="188" spans="1:23" ht="40" customHeight="1" thickBot="1">
      <c r="B188" s="211" t="s">
        <v>1</v>
      </c>
      <c r="C188" s="321" t="s">
        <v>2</v>
      </c>
      <c r="D188" s="212" t="s">
        <v>3</v>
      </c>
      <c r="E188" s="212" t="s">
        <v>4</v>
      </c>
      <c r="F188" s="213" t="s">
        <v>5</v>
      </c>
      <c r="G188" s="213" t="s">
        <v>6</v>
      </c>
      <c r="H188" s="214" t="s">
        <v>7</v>
      </c>
      <c r="I188" s="215" t="s">
        <v>8</v>
      </c>
      <c r="J188" s="215" t="s">
        <v>9</v>
      </c>
      <c r="K188" s="216" t="s">
        <v>250</v>
      </c>
      <c r="L188" s="215" t="s">
        <v>10</v>
      </c>
      <c r="M188" s="217" t="s">
        <v>11</v>
      </c>
    </row>
    <row r="189" spans="1:23" ht="24">
      <c r="B189" s="288">
        <v>1</v>
      </c>
      <c r="C189" s="162" t="s">
        <v>213</v>
      </c>
      <c r="D189" s="162" t="s">
        <v>214</v>
      </c>
      <c r="E189" s="163" t="s">
        <v>215</v>
      </c>
      <c r="F189" s="164">
        <v>37622</v>
      </c>
      <c r="G189" s="164">
        <v>37985</v>
      </c>
      <c r="H189" s="207"/>
      <c r="I189" s="265">
        <v>332000</v>
      </c>
      <c r="J189" s="209"/>
      <c r="K189" s="148">
        <v>240000000</v>
      </c>
      <c r="L189" s="208"/>
      <c r="M189" s="298">
        <f>+K189/I189</f>
        <v>722.89156626506019</v>
      </c>
    </row>
    <row r="190" spans="1:23" ht="37" thickBot="1">
      <c r="B190" s="272">
        <v>2</v>
      </c>
      <c r="C190" s="196" t="s">
        <v>219</v>
      </c>
      <c r="D190" s="196" t="s">
        <v>220</v>
      </c>
      <c r="E190" s="195" t="s">
        <v>221</v>
      </c>
      <c r="F190" s="197">
        <v>38640</v>
      </c>
      <c r="G190" s="197">
        <v>38701</v>
      </c>
      <c r="H190" s="295"/>
      <c r="I190" s="199">
        <v>381500</v>
      </c>
      <c r="J190" s="296"/>
      <c r="K190" s="201">
        <v>150000000</v>
      </c>
      <c r="L190" s="297"/>
      <c r="M190" s="203">
        <f>+K190/I190</f>
        <v>393.18479685452161</v>
      </c>
    </row>
    <row r="191" spans="1:23">
      <c r="B191" s="186"/>
      <c r="C191" s="181"/>
      <c r="D191" s="181"/>
      <c r="E191"/>
      <c r="F191" s="181"/>
      <c r="G191" s="181"/>
      <c r="H191"/>
      <c r="I191"/>
      <c r="J191"/>
      <c r="K191"/>
      <c r="L191"/>
      <c r="M191"/>
    </row>
    <row r="192" spans="1:23" ht="18">
      <c r="B192" s="70"/>
      <c r="C192" s="355" t="s">
        <v>0</v>
      </c>
      <c r="D192" s="355"/>
      <c r="E192" s="355"/>
      <c r="F192" s="355"/>
      <c r="G192" s="355"/>
      <c r="H192" s="355"/>
      <c r="I192" s="355"/>
      <c r="J192" s="355"/>
      <c r="K192" s="355"/>
      <c r="L192" s="97"/>
      <c r="M192" s="147"/>
      <c r="N192" s="77"/>
    </row>
    <row r="193" spans="2:14" s="3" customFormat="1" ht="18">
      <c r="B193" s="70"/>
      <c r="C193" s="355" t="s">
        <v>256</v>
      </c>
      <c r="D193" s="355"/>
      <c r="E193" s="355"/>
      <c r="F193" s="355"/>
      <c r="G193" s="355"/>
      <c r="H193" s="355"/>
      <c r="I193" s="355"/>
      <c r="J193" s="355"/>
      <c r="K193" s="355"/>
      <c r="L193" s="97"/>
      <c r="M193" s="147"/>
      <c r="N193" s="77"/>
    </row>
    <row r="194" spans="2:14" s="3" customFormat="1" ht="7" customHeight="1">
      <c r="B194" s="70"/>
      <c r="C194" s="70"/>
      <c r="D194" s="70"/>
      <c r="E194" s="68"/>
      <c r="F194" s="134"/>
      <c r="G194" s="134"/>
      <c r="H194" s="106"/>
      <c r="I194" s="145"/>
      <c r="J194" s="98"/>
      <c r="K194" s="121"/>
      <c r="L194" s="97"/>
      <c r="M194" s="147"/>
      <c r="N194" s="77"/>
    </row>
    <row r="195" spans="2:14" s="3" customFormat="1" ht="23">
      <c r="B195" s="70"/>
      <c r="C195" s="344" t="s">
        <v>379</v>
      </c>
      <c r="D195" s="344"/>
      <c r="E195" s="344"/>
      <c r="F195" s="344"/>
      <c r="G195" s="344"/>
      <c r="H195" s="344"/>
      <c r="I195" s="344"/>
      <c r="J195" s="344"/>
      <c r="K195" s="344"/>
      <c r="L195" s="97"/>
      <c r="M195" s="147"/>
      <c r="N195" s="77"/>
    </row>
    <row r="196" spans="2:14" s="3" customFormat="1" ht="24" thickBot="1">
      <c r="B196" s="70"/>
      <c r="C196" s="344" t="s">
        <v>378</v>
      </c>
      <c r="D196" s="344"/>
      <c r="E196" s="344"/>
      <c r="F196" s="344"/>
      <c r="G196" s="344"/>
      <c r="H196" s="344"/>
      <c r="I196" s="344"/>
      <c r="J196" s="344"/>
      <c r="K196" s="344"/>
      <c r="L196" s="100"/>
      <c r="M196" s="101"/>
    </row>
    <row r="197" spans="2:14" s="3" customFormat="1" ht="40" customHeight="1" thickBot="1">
      <c r="B197" s="211" t="s">
        <v>1</v>
      </c>
      <c r="C197" s="321" t="s">
        <v>2</v>
      </c>
      <c r="D197" s="212" t="s">
        <v>3</v>
      </c>
      <c r="E197" s="212" t="s">
        <v>4</v>
      </c>
      <c r="F197" s="213" t="s">
        <v>5</v>
      </c>
      <c r="G197" s="213" t="s">
        <v>6</v>
      </c>
      <c r="H197" s="214" t="s">
        <v>7</v>
      </c>
      <c r="I197" s="215" t="s">
        <v>8</v>
      </c>
      <c r="J197" s="215" t="s">
        <v>9</v>
      </c>
      <c r="K197" s="216" t="s">
        <v>250</v>
      </c>
      <c r="L197" s="215" t="s">
        <v>10</v>
      </c>
      <c r="M197" s="217" t="s">
        <v>11</v>
      </c>
    </row>
    <row r="198" spans="2:14" s="3" customFormat="1" ht="24">
      <c r="B198" s="288">
        <v>1</v>
      </c>
      <c r="C198" s="162" t="s">
        <v>109</v>
      </c>
      <c r="D198" s="162" t="s">
        <v>110</v>
      </c>
      <c r="E198" s="163" t="s">
        <v>111</v>
      </c>
      <c r="F198" s="289">
        <v>34708</v>
      </c>
      <c r="G198" s="289">
        <v>34920</v>
      </c>
      <c r="H198" s="290">
        <v>51369757</v>
      </c>
      <c r="I198" s="290">
        <v>118934</v>
      </c>
      <c r="J198" s="291">
        <f t="shared" ref="J198:J208" si="17">+H198/I198</f>
        <v>431.91818151243547</v>
      </c>
      <c r="K198" s="292">
        <v>51369757</v>
      </c>
      <c r="L198" s="293">
        <f t="shared" ref="L198:L208" si="18">+H198*K198</f>
        <v>2638851934239049</v>
      </c>
      <c r="M198" s="294">
        <f t="shared" ref="M198:M208" si="19">+K198/I198</f>
        <v>431.91818151243547</v>
      </c>
    </row>
    <row r="199" spans="2:14" s="3" customFormat="1" ht="24">
      <c r="B199" s="190">
        <v>2</v>
      </c>
      <c r="C199" s="53">
        <v>15995</v>
      </c>
      <c r="D199" s="53" t="s">
        <v>114</v>
      </c>
      <c r="E199" s="38" t="s">
        <v>115</v>
      </c>
      <c r="F199" s="133">
        <v>35096</v>
      </c>
      <c r="G199" s="133">
        <v>35335</v>
      </c>
      <c r="H199" s="60">
        <v>157512173</v>
      </c>
      <c r="I199" s="60">
        <v>142125</v>
      </c>
      <c r="J199" s="61">
        <f t="shared" si="17"/>
        <v>1108.2650694810907</v>
      </c>
      <c r="K199" s="51">
        <v>157512173</v>
      </c>
      <c r="L199" s="62">
        <f t="shared" si="18"/>
        <v>2.4810084643181928E+16</v>
      </c>
      <c r="M199" s="286">
        <f t="shared" si="19"/>
        <v>1108.2650694810907</v>
      </c>
    </row>
    <row r="200" spans="2:14" s="3" customFormat="1">
      <c r="B200" s="190">
        <v>3</v>
      </c>
      <c r="C200" s="53" t="s">
        <v>116</v>
      </c>
      <c r="D200" s="53" t="s">
        <v>117</v>
      </c>
      <c r="E200" s="38" t="s">
        <v>118</v>
      </c>
      <c r="F200" s="133">
        <v>35394</v>
      </c>
      <c r="G200" s="133">
        <v>35727</v>
      </c>
      <c r="H200" s="60">
        <v>312293426</v>
      </c>
      <c r="I200" s="60">
        <v>172005</v>
      </c>
      <c r="J200" s="61">
        <f t="shared" si="17"/>
        <v>1815.6066742245864</v>
      </c>
      <c r="K200" s="51">
        <v>156146713</v>
      </c>
      <c r="L200" s="62">
        <f t="shared" si="18"/>
        <v>4.8763591961408736E+16</v>
      </c>
      <c r="M200" s="286">
        <f t="shared" si="19"/>
        <v>907.80333711229321</v>
      </c>
    </row>
    <row r="201" spans="2:14" s="3" customFormat="1" ht="24">
      <c r="B201" s="190">
        <v>4</v>
      </c>
      <c r="C201" s="53" t="s">
        <v>124</v>
      </c>
      <c r="D201" s="53" t="s">
        <v>125</v>
      </c>
      <c r="E201" s="38" t="s">
        <v>126</v>
      </c>
      <c r="F201" s="133">
        <v>35653</v>
      </c>
      <c r="G201" s="133">
        <v>35726</v>
      </c>
      <c r="H201" s="60">
        <v>100615394</v>
      </c>
      <c r="I201" s="60">
        <v>172005</v>
      </c>
      <c r="J201" s="61">
        <f t="shared" si="17"/>
        <v>584.95621638905845</v>
      </c>
      <c r="K201" s="51">
        <v>100615394</v>
      </c>
      <c r="L201" s="62">
        <f t="shared" si="18"/>
        <v>1.0123457509775236E+16</v>
      </c>
      <c r="M201" s="286">
        <f t="shared" si="19"/>
        <v>584.95621638905845</v>
      </c>
    </row>
    <row r="202" spans="2:14" s="3" customFormat="1" ht="24">
      <c r="B202" s="190">
        <v>5</v>
      </c>
      <c r="C202" s="53" t="s">
        <v>129</v>
      </c>
      <c r="D202" s="53" t="s">
        <v>117</v>
      </c>
      <c r="E202" s="38" t="s">
        <v>130</v>
      </c>
      <c r="F202" s="133">
        <v>35718</v>
      </c>
      <c r="G202" s="133">
        <v>36036</v>
      </c>
      <c r="H202" s="60">
        <v>966728826</v>
      </c>
      <c r="I202" s="60">
        <v>203826</v>
      </c>
      <c r="J202" s="61">
        <f t="shared" si="17"/>
        <v>4742.9122192458271</v>
      </c>
      <c r="K202" s="51">
        <v>483364413</v>
      </c>
      <c r="L202" s="62">
        <f t="shared" si="18"/>
        <v>4.6728231150966912E+17</v>
      </c>
      <c r="M202" s="286">
        <f t="shared" si="19"/>
        <v>2371.4561096229136</v>
      </c>
    </row>
    <row r="203" spans="2:14" s="3" customFormat="1" ht="24">
      <c r="B203" s="190">
        <v>6</v>
      </c>
      <c r="C203" s="53" t="s">
        <v>134</v>
      </c>
      <c r="D203" s="53" t="s">
        <v>117</v>
      </c>
      <c r="E203" s="38" t="s">
        <v>135</v>
      </c>
      <c r="F203" s="133">
        <v>35704</v>
      </c>
      <c r="G203" s="133">
        <v>36022</v>
      </c>
      <c r="H203" s="60">
        <v>854744963</v>
      </c>
      <c r="I203" s="60">
        <v>203826</v>
      </c>
      <c r="J203" s="61">
        <f t="shared" si="17"/>
        <v>4193.5031006839163</v>
      </c>
      <c r="K203" s="51">
        <v>427372481.5</v>
      </c>
      <c r="L203" s="62">
        <f t="shared" si="18"/>
        <v>3.6529447588693568E+17</v>
      </c>
      <c r="M203" s="286">
        <f t="shared" si="19"/>
        <v>2096.7515503419581</v>
      </c>
    </row>
    <row r="204" spans="2:14" s="3" customFormat="1" ht="24">
      <c r="B204" s="190">
        <v>7</v>
      </c>
      <c r="C204" s="17" t="s">
        <v>161</v>
      </c>
      <c r="D204" s="17" t="s">
        <v>174</v>
      </c>
      <c r="E204" s="18" t="s">
        <v>162</v>
      </c>
      <c r="F204" s="132">
        <v>40360</v>
      </c>
      <c r="G204" s="132">
        <v>40725</v>
      </c>
      <c r="H204" s="65">
        <v>405250380</v>
      </c>
      <c r="I204" s="65">
        <v>535600</v>
      </c>
      <c r="J204" s="61">
        <f t="shared" si="17"/>
        <v>756.62879014189696</v>
      </c>
      <c r="K204" s="51">
        <v>405250380</v>
      </c>
      <c r="L204" s="62">
        <f t="shared" si="18"/>
        <v>1.6422787049014438E+17</v>
      </c>
      <c r="M204" s="286">
        <f t="shared" si="19"/>
        <v>756.62879014189696</v>
      </c>
    </row>
    <row r="205" spans="2:14" s="3" customFormat="1" ht="24">
      <c r="B205" s="190">
        <v>8</v>
      </c>
      <c r="C205" s="53" t="s">
        <v>367</v>
      </c>
      <c r="D205" s="53" t="s">
        <v>172</v>
      </c>
      <c r="E205" s="38" t="s">
        <v>163</v>
      </c>
      <c r="F205" s="133">
        <v>40929</v>
      </c>
      <c r="G205" s="133">
        <v>41081</v>
      </c>
      <c r="H205" s="60">
        <v>955298500</v>
      </c>
      <c r="I205" s="60">
        <v>566700</v>
      </c>
      <c r="J205" s="61">
        <f t="shared" si="17"/>
        <v>1685.7217222516322</v>
      </c>
      <c r="K205" s="51">
        <v>955298500</v>
      </c>
      <c r="L205" s="62">
        <f t="shared" si="18"/>
        <v>9.1259522410224998E+17</v>
      </c>
      <c r="M205" s="286">
        <f t="shared" si="19"/>
        <v>1685.7217222516322</v>
      </c>
    </row>
    <row r="206" spans="2:14" s="3" customFormat="1" ht="24">
      <c r="B206" s="190">
        <v>9</v>
      </c>
      <c r="C206" s="53" t="s">
        <v>368</v>
      </c>
      <c r="D206" s="53" t="s">
        <v>170</v>
      </c>
      <c r="E206" s="38" t="s">
        <v>164</v>
      </c>
      <c r="F206" s="133">
        <v>41320</v>
      </c>
      <c r="G206" s="133">
        <v>41532</v>
      </c>
      <c r="H206" s="60">
        <v>334235760</v>
      </c>
      <c r="I206" s="60">
        <v>589500</v>
      </c>
      <c r="J206" s="61">
        <f t="shared" si="17"/>
        <v>566.98178117048349</v>
      </c>
      <c r="K206" s="51">
        <v>334235760</v>
      </c>
      <c r="L206" s="62">
        <f t="shared" si="18"/>
        <v>1.117135432627776E+17</v>
      </c>
      <c r="M206" s="286">
        <f t="shared" si="19"/>
        <v>566.98178117048349</v>
      </c>
    </row>
    <row r="207" spans="2:14" s="3" customFormat="1" ht="36">
      <c r="B207" s="190">
        <v>10</v>
      </c>
      <c r="C207" s="53" t="s">
        <v>166</v>
      </c>
      <c r="D207" s="53" t="s">
        <v>173</v>
      </c>
      <c r="E207" s="38" t="s">
        <v>167</v>
      </c>
      <c r="F207" s="133">
        <v>42459</v>
      </c>
      <c r="G207" s="133">
        <v>43189</v>
      </c>
      <c r="H207" s="60">
        <v>1575342890</v>
      </c>
      <c r="I207" s="60">
        <v>781242</v>
      </c>
      <c r="J207" s="61">
        <f t="shared" si="17"/>
        <v>2016.459547745769</v>
      </c>
      <c r="K207" s="51">
        <v>1575342890</v>
      </c>
      <c r="L207" s="62">
        <f t="shared" si="18"/>
        <v>2.4817052210735519E+18</v>
      </c>
      <c r="M207" s="286">
        <f t="shared" si="19"/>
        <v>2016.459547745769</v>
      </c>
    </row>
    <row r="208" spans="2:14" s="3" customFormat="1" ht="24">
      <c r="B208" s="190">
        <v>11</v>
      </c>
      <c r="C208" s="53" t="s">
        <v>366</v>
      </c>
      <c r="D208" s="53" t="s">
        <v>170</v>
      </c>
      <c r="E208" s="38" t="s">
        <v>169</v>
      </c>
      <c r="F208" s="133">
        <v>43506</v>
      </c>
      <c r="G208" s="133">
        <v>43580</v>
      </c>
      <c r="H208" s="60">
        <v>212345670</v>
      </c>
      <c r="I208" s="60">
        <v>828116</v>
      </c>
      <c r="J208" s="61">
        <f t="shared" si="17"/>
        <v>256.42019958556529</v>
      </c>
      <c r="K208" s="51">
        <v>212345670</v>
      </c>
      <c r="L208" s="62">
        <f t="shared" si="18"/>
        <v>4.5090683567748896E+16</v>
      </c>
      <c r="M208" s="286">
        <f t="shared" si="19"/>
        <v>256.42019958556529</v>
      </c>
    </row>
    <row r="209" spans="2:13" s="3" customFormat="1" ht="36">
      <c r="B209" s="275">
        <v>12</v>
      </c>
      <c r="C209" s="17" t="s">
        <v>178</v>
      </c>
      <c r="D209" s="17" t="s">
        <v>179</v>
      </c>
      <c r="E209" s="18" t="s">
        <v>180</v>
      </c>
      <c r="F209" s="132">
        <v>38756</v>
      </c>
      <c r="G209" s="132">
        <v>38942</v>
      </c>
      <c r="H209" s="19">
        <f t="shared" ref="H209" si="20">+G209-F209</f>
        <v>186</v>
      </c>
      <c r="I209" s="20">
        <v>153727600</v>
      </c>
      <c r="J209" s="21">
        <v>0.5</v>
      </c>
      <c r="K209" s="120">
        <f>I209*J209</f>
        <v>76863800</v>
      </c>
      <c r="L209" s="20">
        <f t="shared" ref="L209" si="21">+K209/2000</f>
        <v>38431.9</v>
      </c>
      <c r="M209" s="193">
        <f>K209/408000</f>
        <v>188.39166666666668</v>
      </c>
    </row>
    <row r="210" spans="2:13" s="3" customFormat="1">
      <c r="B210" s="275"/>
      <c r="C210" s="17"/>
      <c r="D210" s="17"/>
      <c r="E210" s="18"/>
      <c r="F210" s="132"/>
      <c r="G210" s="132"/>
      <c r="H210" s="19"/>
      <c r="I210" s="20"/>
      <c r="J210" s="21"/>
      <c r="K210" s="120"/>
      <c r="L210" s="20"/>
      <c r="M210" s="193"/>
    </row>
    <row r="211" spans="2:13" s="3" customFormat="1" ht="16" thickBot="1">
      <c r="B211" s="299"/>
      <c r="C211" s="301"/>
      <c r="D211" s="301"/>
      <c r="E211" s="300"/>
      <c r="F211" s="302"/>
      <c r="G211" s="302"/>
      <c r="H211" s="287"/>
      <c r="I211" s="303"/>
      <c r="J211" s="304"/>
      <c r="K211" s="305"/>
      <c r="L211" s="303"/>
      <c r="M211" s="306"/>
    </row>
    <row r="212" spans="2:13" s="3" customFormat="1">
      <c r="B212" s="23"/>
      <c r="C212" s="23"/>
      <c r="D212" s="23"/>
      <c r="E212" s="24"/>
      <c r="F212" s="135"/>
      <c r="G212" s="135"/>
      <c r="H212" s="25"/>
      <c r="I212" s="26"/>
      <c r="J212" s="27"/>
      <c r="K212" s="124"/>
      <c r="L212" s="26"/>
      <c r="M212" s="26"/>
    </row>
    <row r="213" spans="2:13" s="3" customFormat="1">
      <c r="B213" s="23"/>
      <c r="C213" s="23"/>
      <c r="D213" s="23"/>
      <c r="E213" s="24"/>
      <c r="F213" s="135"/>
      <c r="G213" s="135"/>
      <c r="H213" s="25"/>
      <c r="I213" s="26"/>
      <c r="J213" s="27"/>
      <c r="K213" s="124"/>
      <c r="L213" s="26"/>
      <c r="M213" s="26"/>
    </row>
    <row r="214" spans="2:13" s="3" customFormat="1" ht="18">
      <c r="B214" s="182"/>
      <c r="C214" s="331"/>
      <c r="D214" s="75"/>
      <c r="E214" s="78" t="s">
        <v>0</v>
      </c>
      <c r="F214" s="234"/>
      <c r="G214" s="235"/>
      <c r="H214" s="79"/>
      <c r="I214" s="80"/>
      <c r="J214" s="81"/>
      <c r="K214" s="116"/>
      <c r="L214" s="80"/>
      <c r="M214" s="82"/>
    </row>
    <row r="215" spans="2:13" s="3" customFormat="1" ht="18">
      <c r="B215" s="182"/>
      <c r="C215" s="331"/>
      <c r="D215" s="75"/>
      <c r="E215" s="78" t="s">
        <v>256</v>
      </c>
      <c r="F215" s="234"/>
      <c r="G215" s="235"/>
      <c r="H215" s="79"/>
      <c r="I215" s="80"/>
      <c r="J215" s="81"/>
      <c r="K215" s="116"/>
      <c r="L215" s="80"/>
      <c r="M215" s="82"/>
    </row>
    <row r="216" spans="2:13" s="3" customFormat="1" ht="6" customHeight="1">
      <c r="B216" s="29"/>
      <c r="C216" s="328"/>
      <c r="D216" s="69"/>
      <c r="E216" s="68"/>
      <c r="F216" s="134"/>
      <c r="G216" s="134"/>
      <c r="H216" s="55"/>
      <c r="I216" s="56"/>
      <c r="J216" s="57"/>
      <c r="K216" s="123"/>
      <c r="L216" s="58"/>
      <c r="M216" s="59"/>
    </row>
    <row r="217" spans="2:13" s="3" customFormat="1" ht="23">
      <c r="B217" s="29"/>
      <c r="C217" s="344" t="s">
        <v>381</v>
      </c>
      <c r="D217" s="344"/>
      <c r="E217" s="344"/>
      <c r="F217" s="344"/>
      <c r="G217" s="344"/>
      <c r="H217" s="344"/>
      <c r="I217" s="344"/>
      <c r="J217" s="344"/>
      <c r="K217" s="344"/>
      <c r="L217" s="58"/>
      <c r="M217" s="59"/>
    </row>
    <row r="218" spans="2:13" s="3" customFormat="1" ht="23">
      <c r="B218" s="69"/>
      <c r="C218" s="344" t="s">
        <v>380</v>
      </c>
      <c r="D218" s="344"/>
      <c r="E218" s="344"/>
      <c r="F218" s="344"/>
      <c r="G218" s="344"/>
      <c r="H218" s="344"/>
      <c r="I218" s="344"/>
      <c r="J218" s="344"/>
      <c r="K218" s="344"/>
      <c r="L218" s="97"/>
      <c r="M218" s="98"/>
    </row>
    <row r="219" spans="2:13" s="3" customFormat="1" ht="24" thickBot="1">
      <c r="B219" s="69"/>
      <c r="C219" s="180"/>
      <c r="D219" s="43"/>
      <c r="E219" s="43"/>
      <c r="F219" s="43"/>
      <c r="G219" s="43"/>
      <c r="H219" s="43"/>
      <c r="I219" s="43"/>
      <c r="J219" s="43"/>
      <c r="K219" s="43"/>
      <c r="L219" s="97"/>
      <c r="M219" s="98"/>
    </row>
    <row r="220" spans="2:13" s="3" customFormat="1" ht="40" customHeight="1" thickBot="1">
      <c r="B220" s="211" t="s">
        <v>1</v>
      </c>
      <c r="C220" s="321" t="s">
        <v>2</v>
      </c>
      <c r="D220" s="212" t="s">
        <v>3</v>
      </c>
      <c r="E220" s="212" t="s">
        <v>4</v>
      </c>
      <c r="F220" s="213" t="s">
        <v>5</v>
      </c>
      <c r="G220" s="213" t="s">
        <v>6</v>
      </c>
      <c r="H220" s="214" t="s">
        <v>7</v>
      </c>
      <c r="I220" s="215" t="s">
        <v>8</v>
      </c>
      <c r="J220" s="215" t="s">
        <v>9</v>
      </c>
      <c r="K220" s="216" t="s">
        <v>250</v>
      </c>
      <c r="L220" s="215" t="s">
        <v>10</v>
      </c>
      <c r="M220" s="217" t="s">
        <v>11</v>
      </c>
    </row>
    <row r="221" spans="2:13" s="3" customFormat="1" ht="35" customHeight="1">
      <c r="B221" s="288">
        <v>1</v>
      </c>
      <c r="C221" s="162">
        <v>10793</v>
      </c>
      <c r="D221" s="162" t="s">
        <v>100</v>
      </c>
      <c r="E221" s="163" t="s">
        <v>101</v>
      </c>
      <c r="F221" s="289">
        <v>33976</v>
      </c>
      <c r="G221" s="289">
        <v>34341</v>
      </c>
      <c r="H221" s="290">
        <v>8552380</v>
      </c>
      <c r="I221" s="290">
        <v>98700</v>
      </c>
      <c r="J221" s="291">
        <f t="shared" ref="J221:J225" si="22">+H221/I221</f>
        <v>86.650253292806482</v>
      </c>
      <c r="K221" s="292">
        <v>8552380</v>
      </c>
      <c r="L221" s="293">
        <f t="shared" ref="L221:L240" si="23">+H221*K221</f>
        <v>73143203664400</v>
      </c>
      <c r="M221" s="294">
        <f>+K221/I221</f>
        <v>86.650253292806482</v>
      </c>
    </row>
    <row r="222" spans="2:13" s="3" customFormat="1" ht="38" customHeight="1">
      <c r="B222" s="190">
        <f>+B221+1</f>
        <v>2</v>
      </c>
      <c r="C222" s="53">
        <v>70093</v>
      </c>
      <c r="D222" s="53" t="s">
        <v>102</v>
      </c>
      <c r="E222" s="38" t="s">
        <v>103</v>
      </c>
      <c r="F222" s="133">
        <v>34274</v>
      </c>
      <c r="G222" s="133">
        <v>34394</v>
      </c>
      <c r="H222" s="60">
        <v>25234580</v>
      </c>
      <c r="I222" s="60">
        <v>98700</v>
      </c>
      <c r="J222" s="61">
        <f t="shared" si="22"/>
        <v>255.66950354609929</v>
      </c>
      <c r="K222" s="51">
        <v>25234580</v>
      </c>
      <c r="L222" s="62">
        <f t="shared" si="23"/>
        <v>636784027776400</v>
      </c>
      <c r="M222" s="286">
        <f t="shared" ref="M222:M225" si="24">+K222/I222</f>
        <v>255.66950354609929</v>
      </c>
    </row>
    <row r="223" spans="2:13" s="3" customFormat="1" ht="24">
      <c r="B223" s="190">
        <f t="shared" ref="B223:B241" si="25">+B222+1</f>
        <v>3</v>
      </c>
      <c r="C223" s="53">
        <v>12594</v>
      </c>
      <c r="D223" s="53" t="s">
        <v>104</v>
      </c>
      <c r="E223" s="38" t="s">
        <v>105</v>
      </c>
      <c r="F223" s="133">
        <v>34366</v>
      </c>
      <c r="G223" s="133">
        <v>34547</v>
      </c>
      <c r="H223" s="60">
        <v>52890340</v>
      </c>
      <c r="I223" s="60">
        <v>98700</v>
      </c>
      <c r="J223" s="61">
        <f t="shared" si="22"/>
        <v>535.86970618034445</v>
      </c>
      <c r="K223" s="51">
        <v>52890340</v>
      </c>
      <c r="L223" s="62">
        <f t="shared" si="23"/>
        <v>2797388065315600</v>
      </c>
      <c r="M223" s="286">
        <f t="shared" si="24"/>
        <v>535.86970618034445</v>
      </c>
    </row>
    <row r="224" spans="2:13" s="3" customFormat="1" ht="36">
      <c r="B224" s="190">
        <f t="shared" si="25"/>
        <v>4</v>
      </c>
      <c r="C224" s="53">
        <v>15194</v>
      </c>
      <c r="D224" s="53" t="s">
        <v>106</v>
      </c>
      <c r="E224" s="38" t="s">
        <v>107</v>
      </c>
      <c r="F224" s="133">
        <v>34380</v>
      </c>
      <c r="G224" s="133">
        <v>34469</v>
      </c>
      <c r="H224" s="60">
        <v>6060261</v>
      </c>
      <c r="I224" s="60">
        <v>98700</v>
      </c>
      <c r="J224" s="61">
        <f t="shared" si="22"/>
        <v>61.400820668693008</v>
      </c>
      <c r="K224" s="51">
        <v>6060261</v>
      </c>
      <c r="L224" s="62">
        <f t="shared" si="23"/>
        <v>36726763388121</v>
      </c>
      <c r="M224" s="286">
        <f t="shared" si="24"/>
        <v>61.400820668693008</v>
      </c>
    </row>
    <row r="225" spans="2:13" s="3" customFormat="1" ht="34" customHeight="1">
      <c r="B225" s="190">
        <f t="shared" si="25"/>
        <v>5</v>
      </c>
      <c r="C225" s="53">
        <v>36794</v>
      </c>
      <c r="D225" s="53" t="s">
        <v>102</v>
      </c>
      <c r="E225" s="38" t="s">
        <v>108</v>
      </c>
      <c r="F225" s="133">
        <v>34693</v>
      </c>
      <c r="G225" s="133">
        <v>34755</v>
      </c>
      <c r="H225" s="60">
        <v>28389510</v>
      </c>
      <c r="I225" s="60">
        <v>118934</v>
      </c>
      <c r="J225" s="61">
        <f t="shared" si="22"/>
        <v>238.69969899271865</v>
      </c>
      <c r="K225" s="51">
        <v>28389510</v>
      </c>
      <c r="L225" s="62">
        <f t="shared" si="23"/>
        <v>805964278040100</v>
      </c>
      <c r="M225" s="286">
        <f t="shared" si="24"/>
        <v>238.69969899271865</v>
      </c>
    </row>
    <row r="226" spans="2:13" s="3" customFormat="1" ht="36" customHeight="1">
      <c r="B226" s="190">
        <f t="shared" si="25"/>
        <v>6</v>
      </c>
      <c r="C226" s="53">
        <v>12594</v>
      </c>
      <c r="D226" s="53" t="s">
        <v>112</v>
      </c>
      <c r="E226" s="38" t="s">
        <v>113</v>
      </c>
      <c r="F226" s="133">
        <v>35079</v>
      </c>
      <c r="G226" s="133">
        <v>35426</v>
      </c>
      <c r="H226" s="60">
        <v>224615450</v>
      </c>
      <c r="I226" s="60">
        <v>142125</v>
      </c>
      <c r="J226" s="61">
        <f t="shared" ref="J226:J240" si="26">+H226/I226</f>
        <v>1580.4077396657872</v>
      </c>
      <c r="K226" s="51">
        <v>224615450</v>
      </c>
      <c r="L226" s="62">
        <f t="shared" si="23"/>
        <v>5.0452100378702496E+16</v>
      </c>
      <c r="M226" s="286">
        <f t="shared" ref="M226:M240" si="27">+K226/I226</f>
        <v>1580.4077396657872</v>
      </c>
    </row>
    <row r="227" spans="2:13" s="3" customFormat="1" ht="31" customHeight="1">
      <c r="B227" s="190">
        <f t="shared" si="25"/>
        <v>7</v>
      </c>
      <c r="C227" s="53">
        <v>96504004</v>
      </c>
      <c r="D227" s="53" t="s">
        <v>119</v>
      </c>
      <c r="E227" s="38" t="s">
        <v>120</v>
      </c>
      <c r="F227" s="133">
        <v>35401</v>
      </c>
      <c r="G227" s="133">
        <v>35646</v>
      </c>
      <c r="H227" s="60">
        <v>97499766</v>
      </c>
      <c r="I227" s="60">
        <v>172005</v>
      </c>
      <c r="J227" s="61">
        <f t="shared" si="26"/>
        <v>566.84262666782945</v>
      </c>
      <c r="K227" s="51">
        <v>97499766</v>
      </c>
      <c r="L227" s="62">
        <f t="shared" si="23"/>
        <v>9506204370054756</v>
      </c>
      <c r="M227" s="286">
        <f t="shared" si="27"/>
        <v>566.84262666782945</v>
      </c>
    </row>
    <row r="228" spans="2:13" s="3" customFormat="1" ht="47" customHeight="1">
      <c r="B228" s="190">
        <f t="shared" si="25"/>
        <v>8</v>
      </c>
      <c r="C228" s="53">
        <v>7741</v>
      </c>
      <c r="D228" s="53" t="s">
        <v>127</v>
      </c>
      <c r="E228" s="38" t="s">
        <v>128</v>
      </c>
      <c r="F228" s="133">
        <v>35704</v>
      </c>
      <c r="G228" s="133">
        <v>35977</v>
      </c>
      <c r="H228" s="60">
        <v>1888474333</v>
      </c>
      <c r="I228" s="60">
        <v>203826</v>
      </c>
      <c r="J228" s="61">
        <f t="shared" si="26"/>
        <v>9265.1297332038102</v>
      </c>
      <c r="K228" s="51">
        <v>849813449.85000002</v>
      </c>
      <c r="L228" s="62">
        <f t="shared" si="23"/>
        <v>1.6048508878799078E+18</v>
      </c>
      <c r="M228" s="286">
        <f t="shared" si="27"/>
        <v>4169.3083799417154</v>
      </c>
    </row>
    <row r="229" spans="2:13" s="3" customFormat="1" ht="60" customHeight="1">
      <c r="B229" s="190">
        <f t="shared" si="25"/>
        <v>9</v>
      </c>
      <c r="C229" s="53" t="s">
        <v>131</v>
      </c>
      <c r="D229" s="53" t="s">
        <v>132</v>
      </c>
      <c r="E229" s="38" t="s">
        <v>133</v>
      </c>
      <c r="F229" s="133">
        <v>35735</v>
      </c>
      <c r="G229" s="133">
        <v>36022</v>
      </c>
      <c r="H229" s="60">
        <v>450834583</v>
      </c>
      <c r="I229" s="60">
        <v>203826</v>
      </c>
      <c r="J229" s="61">
        <f t="shared" si="26"/>
        <v>2211.8600325768057</v>
      </c>
      <c r="K229" s="51">
        <v>450834583</v>
      </c>
      <c r="L229" s="62">
        <f t="shared" si="23"/>
        <v>2.032518212287839E+17</v>
      </c>
      <c r="M229" s="286">
        <f t="shared" si="27"/>
        <v>2211.8600325768057</v>
      </c>
    </row>
    <row r="230" spans="2:13" s="3" customFormat="1" ht="45" customHeight="1">
      <c r="B230" s="190">
        <f t="shared" si="25"/>
        <v>10</v>
      </c>
      <c r="C230" s="53" t="s">
        <v>136</v>
      </c>
      <c r="D230" s="53" t="s">
        <v>132</v>
      </c>
      <c r="E230" s="38" t="s">
        <v>137</v>
      </c>
      <c r="F230" s="133">
        <v>36022</v>
      </c>
      <c r="G230" s="133">
        <v>36234</v>
      </c>
      <c r="H230" s="60">
        <v>1388035056</v>
      </c>
      <c r="I230" s="60">
        <v>236460</v>
      </c>
      <c r="J230" s="61">
        <f t="shared" si="26"/>
        <v>5870.0628266937329</v>
      </c>
      <c r="K230" s="51">
        <v>1388035056</v>
      </c>
      <c r="L230" s="62">
        <f t="shared" si="23"/>
        <v>1.9266413166849231E+18</v>
      </c>
      <c r="M230" s="286">
        <f t="shared" si="27"/>
        <v>5870.0628266937329</v>
      </c>
    </row>
    <row r="231" spans="2:13" s="3" customFormat="1" ht="35" customHeight="1">
      <c r="B231" s="190">
        <f t="shared" si="25"/>
        <v>11</v>
      </c>
      <c r="C231" s="53">
        <v>96504004</v>
      </c>
      <c r="D231" s="53" t="s">
        <v>119</v>
      </c>
      <c r="E231" s="38" t="s">
        <v>138</v>
      </c>
      <c r="F231" s="133">
        <v>35800</v>
      </c>
      <c r="G231" s="133">
        <v>36347</v>
      </c>
      <c r="H231" s="60">
        <v>211257100</v>
      </c>
      <c r="I231" s="60">
        <v>236460</v>
      </c>
      <c r="J231" s="61">
        <f t="shared" si="26"/>
        <v>893.41579971242493</v>
      </c>
      <c r="K231" s="51">
        <v>211257100</v>
      </c>
      <c r="L231" s="62">
        <f t="shared" si="23"/>
        <v>4.462956230041E+16</v>
      </c>
      <c r="M231" s="286">
        <f t="shared" si="27"/>
        <v>893.41579971242493</v>
      </c>
    </row>
    <row r="232" spans="2:13" s="3" customFormat="1" ht="35" customHeight="1">
      <c r="B232" s="190">
        <f t="shared" si="25"/>
        <v>12</v>
      </c>
      <c r="C232" s="53">
        <v>98984013</v>
      </c>
      <c r="D232" s="53" t="s">
        <v>119</v>
      </c>
      <c r="E232" s="38" t="s">
        <v>139</v>
      </c>
      <c r="F232" s="133">
        <v>36153</v>
      </c>
      <c r="G232" s="133">
        <v>36525</v>
      </c>
      <c r="H232" s="60">
        <v>58841855</v>
      </c>
      <c r="I232" s="60">
        <v>236460</v>
      </c>
      <c r="J232" s="61">
        <f t="shared" si="26"/>
        <v>248.84485748118075</v>
      </c>
      <c r="K232" s="51">
        <v>58841855</v>
      </c>
      <c r="L232" s="62">
        <f t="shared" si="23"/>
        <v>3462363899841025</v>
      </c>
      <c r="M232" s="286">
        <f t="shared" si="27"/>
        <v>248.84485748118075</v>
      </c>
    </row>
    <row r="233" spans="2:13" s="3" customFormat="1" ht="57" customHeight="1">
      <c r="B233" s="190">
        <f t="shared" si="25"/>
        <v>13</v>
      </c>
      <c r="C233" s="53">
        <v>99240</v>
      </c>
      <c r="D233" s="53" t="s">
        <v>132</v>
      </c>
      <c r="E233" s="38" t="s">
        <v>140</v>
      </c>
      <c r="F233" s="133">
        <v>36404</v>
      </c>
      <c r="G233" s="133">
        <v>36891</v>
      </c>
      <c r="H233" s="60">
        <v>927107332</v>
      </c>
      <c r="I233" s="60">
        <v>260100</v>
      </c>
      <c r="J233" s="61">
        <f t="shared" si="26"/>
        <v>3564.426497500961</v>
      </c>
      <c r="K233" s="51">
        <v>927107332</v>
      </c>
      <c r="L233" s="62">
        <f t="shared" si="23"/>
        <v>8.5952800504815821E+17</v>
      </c>
      <c r="M233" s="286">
        <f t="shared" si="27"/>
        <v>3564.426497500961</v>
      </c>
    </row>
    <row r="234" spans="2:13" s="3" customFormat="1" ht="36">
      <c r="B234" s="190">
        <f t="shared" si="25"/>
        <v>14</v>
      </c>
      <c r="C234" s="53" t="s">
        <v>141</v>
      </c>
      <c r="D234" s="53" t="s">
        <v>142</v>
      </c>
      <c r="E234" s="38" t="s">
        <v>143</v>
      </c>
      <c r="F234" s="133">
        <v>37222</v>
      </c>
      <c r="G234" s="133">
        <v>37586</v>
      </c>
      <c r="H234" s="60">
        <v>194911469</v>
      </c>
      <c r="I234" s="60">
        <v>309000</v>
      </c>
      <c r="J234" s="61">
        <f t="shared" si="26"/>
        <v>630.78145307443367</v>
      </c>
      <c r="K234" s="51">
        <v>194911469</v>
      </c>
      <c r="L234" s="62">
        <f t="shared" si="23"/>
        <v>3.799048074773796E+16</v>
      </c>
      <c r="M234" s="286">
        <f t="shared" si="27"/>
        <v>630.78145307443367</v>
      </c>
    </row>
    <row r="235" spans="2:13" s="3" customFormat="1" ht="60" customHeight="1">
      <c r="B235" s="190">
        <f t="shared" si="25"/>
        <v>15</v>
      </c>
      <c r="C235" s="53" t="s">
        <v>147</v>
      </c>
      <c r="D235" s="53" t="s">
        <v>148</v>
      </c>
      <c r="E235" s="38" t="s">
        <v>149</v>
      </c>
      <c r="F235" s="133">
        <v>37540</v>
      </c>
      <c r="G235" s="133">
        <v>37800</v>
      </c>
      <c r="H235" s="60">
        <v>836540396</v>
      </c>
      <c r="I235" s="60">
        <v>332000</v>
      </c>
      <c r="J235" s="61">
        <f t="shared" si="26"/>
        <v>2519.6999879518071</v>
      </c>
      <c r="K235" s="51">
        <v>836540396</v>
      </c>
      <c r="L235" s="62">
        <f t="shared" si="23"/>
        <v>6.997998341398368E+17</v>
      </c>
      <c r="M235" s="286">
        <f t="shared" si="27"/>
        <v>2519.6999879518071</v>
      </c>
    </row>
    <row r="236" spans="2:13" s="3" customFormat="1" ht="36">
      <c r="B236" s="190">
        <f t="shared" si="25"/>
        <v>16</v>
      </c>
      <c r="C236" s="53" t="s">
        <v>150</v>
      </c>
      <c r="D236" s="53" t="s">
        <v>151</v>
      </c>
      <c r="E236" s="38" t="s">
        <v>152</v>
      </c>
      <c r="F236" s="133">
        <v>37623</v>
      </c>
      <c r="G236" s="133">
        <v>38192</v>
      </c>
      <c r="H236" s="60">
        <v>30928375</v>
      </c>
      <c r="I236" s="60">
        <v>358000</v>
      </c>
      <c r="J236" s="61">
        <f t="shared" si="26"/>
        <v>86.39210893854748</v>
      </c>
      <c r="K236" s="51">
        <v>30928375</v>
      </c>
      <c r="L236" s="62">
        <f t="shared" si="23"/>
        <v>956564380140625</v>
      </c>
      <c r="M236" s="286">
        <f t="shared" si="27"/>
        <v>86.39210893854748</v>
      </c>
    </row>
    <row r="237" spans="2:13" s="3" customFormat="1" ht="46" customHeight="1">
      <c r="B237" s="190">
        <f t="shared" si="25"/>
        <v>17</v>
      </c>
      <c r="C237" s="53" t="s">
        <v>153</v>
      </c>
      <c r="D237" s="53" t="s">
        <v>171</v>
      </c>
      <c r="E237" s="38" t="s">
        <v>154</v>
      </c>
      <c r="F237" s="133">
        <v>37957</v>
      </c>
      <c r="G237" s="133">
        <v>38232</v>
      </c>
      <c r="H237" s="60">
        <v>2050000000</v>
      </c>
      <c r="I237" s="60">
        <v>358000</v>
      </c>
      <c r="J237" s="61">
        <f t="shared" si="26"/>
        <v>5726.2569832402232</v>
      </c>
      <c r="K237" s="51">
        <v>1640000000</v>
      </c>
      <c r="L237" s="62">
        <f t="shared" si="23"/>
        <v>3.362E+18</v>
      </c>
      <c r="M237" s="286">
        <f t="shared" si="27"/>
        <v>4581.0055865921786</v>
      </c>
    </row>
    <row r="238" spans="2:13" s="3" customFormat="1" ht="44" customHeight="1">
      <c r="B238" s="190">
        <f t="shared" si="25"/>
        <v>18</v>
      </c>
      <c r="C238" s="53" t="s">
        <v>155</v>
      </c>
      <c r="D238" s="53" t="s">
        <v>151</v>
      </c>
      <c r="E238" s="38" t="s">
        <v>156</v>
      </c>
      <c r="F238" s="133">
        <v>38200</v>
      </c>
      <c r="G238" s="133">
        <v>39325</v>
      </c>
      <c r="H238" s="60">
        <v>479022213</v>
      </c>
      <c r="I238" s="60">
        <v>433700</v>
      </c>
      <c r="J238" s="61">
        <f t="shared" si="26"/>
        <v>1104.5012981323496</v>
      </c>
      <c r="K238" s="51">
        <v>479022213</v>
      </c>
      <c r="L238" s="62">
        <f t="shared" si="23"/>
        <v>2.2946228054741738E+17</v>
      </c>
      <c r="M238" s="286">
        <f t="shared" si="27"/>
        <v>1104.5012981323496</v>
      </c>
    </row>
    <row r="239" spans="2:13" s="3" customFormat="1" ht="35" customHeight="1">
      <c r="B239" s="190">
        <f t="shared" si="25"/>
        <v>19</v>
      </c>
      <c r="C239" s="53" t="s">
        <v>329</v>
      </c>
      <c r="D239" s="53" t="s">
        <v>328</v>
      </c>
      <c r="E239" s="38" t="s">
        <v>160</v>
      </c>
      <c r="F239" s="133">
        <v>39828</v>
      </c>
      <c r="G239" s="133">
        <v>39979</v>
      </c>
      <c r="H239" s="60">
        <v>155895542</v>
      </c>
      <c r="I239" s="60">
        <v>496900</v>
      </c>
      <c r="J239" s="61">
        <f t="shared" si="26"/>
        <v>313.73624874220167</v>
      </c>
      <c r="K239" s="51">
        <v>155895542</v>
      </c>
      <c r="L239" s="62">
        <f t="shared" si="23"/>
        <v>2.4303420015473764E+16</v>
      </c>
      <c r="M239" s="286">
        <f t="shared" si="27"/>
        <v>313.73624874220167</v>
      </c>
    </row>
    <row r="240" spans="2:13" s="3" customFormat="1" ht="34" customHeight="1">
      <c r="B240" s="190">
        <f t="shared" si="25"/>
        <v>20</v>
      </c>
      <c r="C240" s="53" t="s">
        <v>330</v>
      </c>
      <c r="D240" s="53" t="s">
        <v>170</v>
      </c>
      <c r="E240" s="38" t="s">
        <v>165</v>
      </c>
      <c r="F240" s="133">
        <v>42019</v>
      </c>
      <c r="G240" s="133">
        <v>42231</v>
      </c>
      <c r="H240" s="60">
        <v>225758900</v>
      </c>
      <c r="I240" s="60">
        <v>644350</v>
      </c>
      <c r="J240" s="61">
        <f t="shared" si="26"/>
        <v>350.36688135330178</v>
      </c>
      <c r="K240" s="51">
        <v>225758900</v>
      </c>
      <c r="L240" s="62">
        <f t="shared" si="23"/>
        <v>5.096708092921E+16</v>
      </c>
      <c r="M240" s="286">
        <f t="shared" si="27"/>
        <v>350.36688135330178</v>
      </c>
    </row>
    <row r="241" spans="2:25" s="3" customFormat="1" ht="32" customHeight="1" thickBot="1">
      <c r="B241" s="272">
        <f t="shared" si="25"/>
        <v>21</v>
      </c>
      <c r="C241" s="196" t="s">
        <v>331</v>
      </c>
      <c r="D241" s="196" t="s">
        <v>170</v>
      </c>
      <c r="E241" s="195" t="s">
        <v>168</v>
      </c>
      <c r="F241" s="258">
        <v>43480</v>
      </c>
      <c r="G241" s="258">
        <v>43570</v>
      </c>
      <c r="H241" s="307">
        <v>146789000</v>
      </c>
      <c r="I241" s="307">
        <v>828116</v>
      </c>
      <c r="J241" s="308">
        <v>177.26</v>
      </c>
      <c r="K241" s="309">
        <v>146789000</v>
      </c>
      <c r="L241" s="310">
        <v>2.1547010521E+16</v>
      </c>
      <c r="M241" s="311">
        <v>177.26</v>
      </c>
    </row>
    <row r="242" spans="2:25" s="3" customFormat="1" ht="7" customHeight="1">
      <c r="B242" s="70"/>
      <c r="C242" s="70"/>
      <c r="D242" s="70"/>
      <c r="E242" s="102"/>
      <c r="F242" s="171"/>
      <c r="G242" s="171"/>
      <c r="H242" s="71"/>
      <c r="I242" s="71"/>
      <c r="J242" s="72"/>
      <c r="K242" s="125"/>
      <c r="L242" s="73"/>
      <c r="M242" s="74"/>
    </row>
    <row r="243" spans="2:25" s="3" customFormat="1">
      <c r="B243" s="184"/>
      <c r="C243" s="333"/>
      <c r="D243" s="15"/>
      <c r="F243" s="144"/>
      <c r="G243" s="144"/>
      <c r="H243" s="6"/>
      <c r="I243" s="4"/>
      <c r="J243" s="7"/>
      <c r="K243" s="117"/>
      <c r="L243" s="4"/>
      <c r="M243" s="7"/>
    </row>
    <row r="244" spans="2:25" s="3" customFormat="1">
      <c r="B244" s="184"/>
      <c r="C244" s="333"/>
      <c r="D244" s="15"/>
      <c r="F244" s="144"/>
      <c r="G244" s="144"/>
      <c r="H244" s="6"/>
      <c r="I244" s="4"/>
      <c r="J244" s="7"/>
      <c r="K244" s="117"/>
      <c r="L244" s="4"/>
      <c r="M244" s="7"/>
    </row>
    <row r="245" spans="2:25" s="3" customFormat="1">
      <c r="B245" s="184"/>
      <c r="C245" s="333"/>
      <c r="D245" s="15"/>
      <c r="F245" s="144"/>
      <c r="G245" s="144"/>
      <c r="H245" s="6"/>
      <c r="I245" s="4"/>
      <c r="J245" s="7"/>
      <c r="K245" s="117"/>
      <c r="L245" s="4"/>
      <c r="M245" s="7"/>
      <c r="O245" s="15"/>
      <c r="P245" s="2"/>
      <c r="Q245" s="2"/>
      <c r="T245" s="5"/>
      <c r="U245" s="5"/>
      <c r="V245" s="6"/>
      <c r="W245" s="4"/>
      <c r="X245" s="7"/>
      <c r="Y245" s="4"/>
    </row>
    <row r="246" spans="2:25" s="3" customFormat="1">
      <c r="B246" s="184"/>
      <c r="C246" s="333"/>
      <c r="D246" s="15"/>
      <c r="F246" s="144"/>
      <c r="G246" s="144"/>
      <c r="H246" s="6"/>
      <c r="I246" s="4"/>
      <c r="J246" s="7"/>
      <c r="K246" s="117"/>
      <c r="L246" s="4"/>
      <c r="M246" s="7"/>
      <c r="O246" s="15"/>
      <c r="P246" s="2"/>
      <c r="Q246" s="2"/>
      <c r="T246" s="5"/>
      <c r="U246" s="5"/>
      <c r="V246" s="6"/>
      <c r="W246" s="4"/>
      <c r="X246" s="7"/>
      <c r="Y246" s="4"/>
    </row>
    <row r="247" spans="2:25" s="3" customFormat="1">
      <c r="B247" s="184"/>
      <c r="C247" s="333"/>
      <c r="D247" s="15"/>
      <c r="F247" s="144"/>
      <c r="G247" s="144"/>
      <c r="H247" s="6"/>
      <c r="I247" s="4"/>
      <c r="J247" s="7"/>
      <c r="K247" s="117"/>
      <c r="L247" s="4"/>
      <c r="M247" s="7"/>
      <c r="O247" s="15"/>
      <c r="P247" s="2"/>
      <c r="Q247" s="2"/>
      <c r="T247" s="5"/>
      <c r="U247" s="5"/>
      <c r="V247" s="6"/>
      <c r="W247" s="4"/>
      <c r="X247" s="7"/>
      <c r="Y247" s="4"/>
    </row>
    <row r="248" spans="2:25" s="3" customFormat="1">
      <c r="B248" s="184"/>
      <c r="C248" s="333"/>
      <c r="D248" s="15"/>
      <c r="F248" s="144"/>
      <c r="G248" s="144"/>
      <c r="H248" s="6"/>
      <c r="I248" s="4"/>
      <c r="J248" s="7"/>
      <c r="K248" s="117"/>
      <c r="L248" s="4"/>
      <c r="M248" s="7"/>
      <c r="O248" s="15"/>
      <c r="P248" s="2"/>
      <c r="Q248" s="2"/>
      <c r="T248" s="5"/>
      <c r="U248" s="5"/>
      <c r="V248" s="6"/>
      <c r="W248" s="4"/>
      <c r="X248" s="7"/>
      <c r="Y248" s="4"/>
    </row>
    <row r="249" spans="2:25" s="3" customFormat="1">
      <c r="B249" s="184"/>
      <c r="C249" s="333"/>
      <c r="D249" s="15"/>
      <c r="F249" s="144"/>
      <c r="G249" s="144"/>
      <c r="H249" s="6"/>
      <c r="I249" s="4"/>
      <c r="J249" s="7"/>
      <c r="K249" s="117"/>
      <c r="L249" s="4"/>
      <c r="M249" s="7"/>
      <c r="X249" s="7"/>
      <c r="Y249" s="4"/>
    </row>
    <row r="250" spans="2:25" s="3" customFormat="1">
      <c r="B250" s="184"/>
      <c r="C250" s="333"/>
      <c r="D250" s="15"/>
      <c r="F250" s="144"/>
      <c r="G250" s="144"/>
      <c r="H250" s="6"/>
      <c r="I250" s="4"/>
      <c r="J250" s="7"/>
      <c r="K250" s="117"/>
      <c r="L250" s="4"/>
      <c r="M250" s="7"/>
      <c r="X250" s="7"/>
      <c r="Y250" s="4"/>
    </row>
    <row r="251" spans="2:25" s="3" customFormat="1">
      <c r="B251" s="44"/>
      <c r="C251" s="44"/>
      <c r="D251" s="44"/>
      <c r="E251" s="31"/>
      <c r="F251" s="44"/>
      <c r="G251" s="44"/>
      <c r="H251" s="6"/>
      <c r="I251" s="31"/>
      <c r="J251" s="32"/>
      <c r="K251" s="126"/>
      <c r="L251" s="4"/>
      <c r="M251" s="7"/>
      <c r="X251" s="7"/>
      <c r="Y251" s="4"/>
    </row>
    <row r="252" spans="2:25" s="3" customFormat="1">
      <c r="B252" s="184"/>
      <c r="C252" s="333"/>
      <c r="D252" s="15"/>
      <c r="F252" s="144"/>
      <c r="G252" s="144"/>
      <c r="H252" s="6"/>
      <c r="I252" s="4"/>
      <c r="J252" s="7"/>
      <c r="K252" s="117"/>
      <c r="L252" s="4"/>
      <c r="M252" s="7"/>
      <c r="X252" s="7"/>
      <c r="Y252" s="4"/>
    </row>
    <row r="253" spans="2:25" s="3" customFormat="1">
      <c r="B253" s="184"/>
      <c r="C253" s="333"/>
      <c r="D253" s="15"/>
      <c r="F253" s="144"/>
      <c r="G253" s="144"/>
      <c r="H253" s="6"/>
      <c r="I253" s="4"/>
      <c r="J253" s="7"/>
      <c r="K253" s="117"/>
      <c r="L253" s="4"/>
      <c r="M253" s="7"/>
      <c r="X253" s="7"/>
      <c r="Y253" s="4"/>
    </row>
    <row r="254" spans="2:25" s="3" customFormat="1">
      <c r="B254" s="184"/>
      <c r="C254" s="333"/>
      <c r="D254" s="15"/>
      <c r="F254" s="144"/>
      <c r="G254" s="144"/>
      <c r="H254" s="6"/>
      <c r="I254" s="4"/>
      <c r="J254" s="7"/>
      <c r="K254" s="117"/>
      <c r="L254" s="4"/>
      <c r="M254" s="7"/>
      <c r="X254" s="7"/>
      <c r="Y254" s="4"/>
    </row>
    <row r="255" spans="2:25" s="3" customFormat="1">
      <c r="B255" s="186"/>
      <c r="C255" s="181"/>
      <c r="D255" s="181"/>
      <c r="E255"/>
      <c r="F255" s="181"/>
      <c r="G255" s="181"/>
      <c r="H255"/>
      <c r="I255"/>
      <c r="J255"/>
      <c r="K255" s="127"/>
      <c r="L255" s="4"/>
      <c r="M255" s="7"/>
      <c r="X255" s="7"/>
      <c r="Y255" s="4"/>
    </row>
    <row r="256" spans="2:25" s="3" customFormat="1" ht="18">
      <c r="B256" s="182"/>
      <c r="C256" s="331"/>
      <c r="D256" s="75"/>
      <c r="E256" s="78" t="s">
        <v>0</v>
      </c>
      <c r="F256" s="234"/>
      <c r="G256" s="235"/>
      <c r="H256" s="79"/>
      <c r="I256" s="80"/>
      <c r="J256" s="81"/>
      <c r="K256" s="116"/>
      <c r="L256" s="80"/>
      <c r="M256" s="82"/>
      <c r="X256" s="7"/>
      <c r="Y256" s="4"/>
    </row>
    <row r="257" spans="2:25" s="3" customFormat="1" ht="18">
      <c r="B257" s="182"/>
      <c r="C257" s="331"/>
      <c r="D257" s="75"/>
      <c r="E257" s="78" t="s">
        <v>256</v>
      </c>
      <c r="F257" s="234"/>
      <c r="G257" s="235"/>
      <c r="H257" s="79"/>
      <c r="I257" s="80"/>
      <c r="J257" s="81"/>
      <c r="K257" s="116"/>
      <c r="L257" s="80"/>
      <c r="M257" s="82"/>
      <c r="X257" s="7"/>
      <c r="Y257" s="4"/>
    </row>
    <row r="258" spans="2:25" s="3" customFormat="1">
      <c r="B258" s="183"/>
      <c r="C258" s="332"/>
      <c r="D258" s="83"/>
      <c r="E258" s="85"/>
      <c r="F258" s="236"/>
      <c r="G258" s="236"/>
      <c r="H258" s="86"/>
      <c r="I258" s="9"/>
      <c r="J258" s="9"/>
      <c r="K258" s="115"/>
      <c r="L258" s="9"/>
      <c r="M258" s="9"/>
      <c r="X258" s="7"/>
      <c r="Y258" s="4"/>
    </row>
    <row r="259" spans="2:25" s="3" customFormat="1" ht="23">
      <c r="B259" s="104"/>
      <c r="C259" s="344" t="s">
        <v>252</v>
      </c>
      <c r="D259" s="344"/>
      <c r="E259" s="344"/>
      <c r="F259" s="344"/>
      <c r="G259" s="344"/>
      <c r="H259" s="344"/>
      <c r="I259" s="344"/>
      <c r="J259" s="344"/>
      <c r="K259" s="344"/>
      <c r="L259" s="105"/>
      <c r="M259" s="105"/>
      <c r="X259" s="7"/>
      <c r="Y259" s="4"/>
    </row>
    <row r="260" spans="2:25" s="3" customFormat="1" ht="20" customHeight="1">
      <c r="B260" s="104"/>
      <c r="C260" s="344" t="s">
        <v>360</v>
      </c>
      <c r="D260" s="344"/>
      <c r="E260" s="344"/>
      <c r="F260" s="344"/>
      <c r="G260" s="344"/>
      <c r="H260" s="344"/>
      <c r="I260" s="344"/>
      <c r="J260" s="344"/>
      <c r="K260" s="344"/>
      <c r="L260" s="105"/>
      <c r="M260" s="105"/>
      <c r="X260" s="7"/>
      <c r="Y260" s="4"/>
    </row>
    <row r="261" spans="2:25" s="3" customFormat="1" ht="24" thickBot="1">
      <c r="B261" s="104"/>
      <c r="C261" s="180"/>
      <c r="D261" s="180"/>
      <c r="E261" s="43"/>
      <c r="F261" s="180"/>
      <c r="G261" s="180"/>
      <c r="H261" s="43"/>
      <c r="I261" s="43"/>
      <c r="J261" s="43"/>
      <c r="K261" s="43"/>
      <c r="L261" s="105"/>
      <c r="M261" s="105"/>
      <c r="X261" s="7"/>
      <c r="Y261" s="4"/>
    </row>
    <row r="262" spans="2:25" s="3" customFormat="1" ht="46" thickBot="1">
      <c r="B262" s="211" t="s">
        <v>1</v>
      </c>
      <c r="C262" s="321" t="s">
        <v>2</v>
      </c>
      <c r="D262" s="212" t="s">
        <v>3</v>
      </c>
      <c r="E262" s="212" t="s">
        <v>4</v>
      </c>
      <c r="F262" s="213" t="s">
        <v>5</v>
      </c>
      <c r="G262" s="213" t="s">
        <v>6</v>
      </c>
      <c r="H262" s="214" t="s">
        <v>7</v>
      </c>
      <c r="I262" s="215" t="s">
        <v>8</v>
      </c>
      <c r="J262" s="215" t="s">
        <v>9</v>
      </c>
      <c r="K262" s="216" t="s">
        <v>250</v>
      </c>
      <c r="L262" s="215" t="s">
        <v>10</v>
      </c>
      <c r="M262" s="217" t="s">
        <v>11</v>
      </c>
      <c r="X262" s="7"/>
      <c r="Y262" s="4"/>
    </row>
    <row r="263" spans="2:25" s="3" customFormat="1" ht="32" customHeight="1">
      <c r="B263" s="204">
        <v>1</v>
      </c>
      <c r="C263" s="152" t="s">
        <v>351</v>
      </c>
      <c r="D263" s="152" t="s">
        <v>260</v>
      </c>
      <c r="E263" s="205" t="s">
        <v>259</v>
      </c>
      <c r="F263" s="149">
        <v>34921</v>
      </c>
      <c r="G263" s="149">
        <v>35053</v>
      </c>
      <c r="H263" s="207"/>
      <c r="I263" s="208"/>
      <c r="J263" s="209"/>
      <c r="K263" s="319">
        <v>32243200</v>
      </c>
      <c r="L263" s="208"/>
      <c r="M263" s="298">
        <f t="shared" ref="M263" si="28">K263/118934</f>
        <v>271.10161938554154</v>
      </c>
      <c r="X263" s="7"/>
      <c r="Y263" s="4"/>
    </row>
    <row r="264" spans="2:25" s="3" customFormat="1" ht="36">
      <c r="B264" s="188">
        <f>+B263+1</f>
        <v>2</v>
      </c>
      <c r="C264" s="94" t="s">
        <v>353</v>
      </c>
      <c r="D264" s="94" t="s">
        <v>263</v>
      </c>
      <c r="E264" s="154" t="s">
        <v>337</v>
      </c>
      <c r="F264" s="128">
        <v>35073</v>
      </c>
      <c r="G264" s="128">
        <v>35439</v>
      </c>
      <c r="H264" s="99"/>
      <c r="I264" s="67"/>
      <c r="J264" s="66"/>
      <c r="K264" s="153">
        <v>127453200</v>
      </c>
      <c r="L264" s="67"/>
      <c r="M264" s="192">
        <f>K264/142125</f>
        <v>896.76833773087071</v>
      </c>
      <c r="X264" s="7"/>
      <c r="Y264" s="4"/>
    </row>
    <row r="265" spans="2:25" s="3" customFormat="1" ht="24">
      <c r="B265" s="188">
        <f t="shared" ref="B265:B278" si="29">+B264+1</f>
        <v>3</v>
      </c>
      <c r="C265" s="94" t="s">
        <v>352</v>
      </c>
      <c r="D265" s="94" t="s">
        <v>263</v>
      </c>
      <c r="E265" s="37" t="s">
        <v>338</v>
      </c>
      <c r="F265" s="128">
        <v>35339</v>
      </c>
      <c r="G265" s="128">
        <v>35489</v>
      </c>
      <c r="H265" s="99"/>
      <c r="I265" s="67"/>
      <c r="J265" s="66"/>
      <c r="K265" s="153">
        <v>115323470</v>
      </c>
      <c r="L265" s="67"/>
      <c r="M265" s="192">
        <f>K265/142125</f>
        <v>811.42283201407213</v>
      </c>
      <c r="X265" s="7"/>
      <c r="Y265" s="4"/>
    </row>
    <row r="266" spans="2:25" s="3" customFormat="1" ht="20" customHeight="1">
      <c r="B266" s="351">
        <f t="shared" si="29"/>
        <v>4</v>
      </c>
      <c r="C266" s="336" t="s">
        <v>350</v>
      </c>
      <c r="D266" s="336" t="s">
        <v>264</v>
      </c>
      <c r="E266" s="336" t="s">
        <v>339</v>
      </c>
      <c r="F266" s="339">
        <v>35490</v>
      </c>
      <c r="G266" s="339">
        <v>35766</v>
      </c>
      <c r="H266" s="99"/>
      <c r="I266" s="67"/>
      <c r="J266" s="66"/>
      <c r="K266" s="357">
        <v>118675780</v>
      </c>
      <c r="L266" s="143"/>
      <c r="M266" s="352">
        <f t="shared" ref="M266:M267" si="30">K266/172005</f>
        <v>689.95540827301534</v>
      </c>
      <c r="X266" s="7"/>
      <c r="Y266" s="4"/>
    </row>
    <row r="267" spans="2:25" s="3" customFormat="1">
      <c r="B267" s="347"/>
      <c r="C267" s="336"/>
      <c r="D267" s="336"/>
      <c r="E267" s="336"/>
      <c r="F267" s="339"/>
      <c r="G267" s="339"/>
      <c r="H267" s="99"/>
      <c r="I267" s="67"/>
      <c r="J267" s="66"/>
      <c r="K267" s="357"/>
      <c r="L267" s="143"/>
      <c r="M267" s="353">
        <f t="shared" si="30"/>
        <v>0</v>
      </c>
      <c r="X267" s="7"/>
      <c r="Y267" s="4"/>
    </row>
    <row r="268" spans="2:25" s="3" customFormat="1" ht="36">
      <c r="B268" s="188">
        <v>5</v>
      </c>
      <c r="C268" s="323" t="s">
        <v>354</v>
      </c>
      <c r="D268" s="94" t="s">
        <v>281</v>
      </c>
      <c r="E268" s="37" t="s">
        <v>340</v>
      </c>
      <c r="F268" s="128">
        <v>36192</v>
      </c>
      <c r="G268" s="128">
        <v>36368</v>
      </c>
      <c r="H268" s="99"/>
      <c r="I268" s="67"/>
      <c r="J268" s="66"/>
      <c r="K268" s="155">
        <v>178200000</v>
      </c>
      <c r="L268" s="143"/>
      <c r="M268" s="312">
        <f>K268/236460</f>
        <v>753.61583354478557</v>
      </c>
      <c r="X268" s="7"/>
      <c r="Y268" s="4"/>
    </row>
    <row r="269" spans="2:25" s="3" customFormat="1" ht="20" customHeight="1">
      <c r="B269" s="188">
        <f t="shared" si="29"/>
        <v>6</v>
      </c>
      <c r="C269" s="322" t="s">
        <v>332</v>
      </c>
      <c r="D269" s="53" t="s">
        <v>93</v>
      </c>
      <c r="E269" s="139" t="s">
        <v>333</v>
      </c>
      <c r="F269" s="128">
        <v>37501</v>
      </c>
      <c r="G269" s="128">
        <v>37638</v>
      </c>
      <c r="H269" s="99"/>
      <c r="I269" s="67"/>
      <c r="J269" s="66"/>
      <c r="K269" s="151">
        <v>46440000</v>
      </c>
      <c r="L269" s="143"/>
      <c r="M269" s="189">
        <f>K269/309000</f>
        <v>150.29126213592232</v>
      </c>
      <c r="X269" s="7"/>
      <c r="Y269" s="4"/>
    </row>
    <row r="270" spans="2:25" s="3" customFormat="1" ht="24">
      <c r="B270" s="188">
        <f t="shared" si="29"/>
        <v>7</v>
      </c>
      <c r="C270" s="53" t="s">
        <v>363</v>
      </c>
      <c r="D270" s="53" t="s">
        <v>217</v>
      </c>
      <c r="E270" s="38" t="s">
        <v>364</v>
      </c>
      <c r="F270" s="131">
        <v>37774</v>
      </c>
      <c r="G270" s="131">
        <v>38137</v>
      </c>
      <c r="H270" s="19">
        <f t="shared" ref="H270" si="31">+G270-F270</f>
        <v>363</v>
      </c>
      <c r="I270" s="52">
        <v>358000</v>
      </c>
      <c r="J270" s="66"/>
      <c r="K270" s="119">
        <f>958500000*0.1</f>
        <v>95850000</v>
      </c>
      <c r="L270" s="67"/>
      <c r="M270" s="189">
        <f>K270/332000</f>
        <v>288.70481927710841</v>
      </c>
      <c r="X270" s="7"/>
      <c r="Y270" s="4"/>
    </row>
    <row r="271" spans="2:25" s="3" customFormat="1" ht="24">
      <c r="B271" s="188">
        <f t="shared" si="29"/>
        <v>8</v>
      </c>
      <c r="C271" s="28" t="s">
        <v>334</v>
      </c>
      <c r="D271" s="28" t="s">
        <v>335</v>
      </c>
      <c r="E271" s="33" t="s">
        <v>348</v>
      </c>
      <c r="F271" s="128">
        <v>39846</v>
      </c>
      <c r="G271" s="128">
        <v>39905</v>
      </c>
      <c r="H271" s="156"/>
      <c r="I271" s="67"/>
      <c r="J271" s="66"/>
      <c r="K271" s="118">
        <v>98600580</v>
      </c>
      <c r="L271" s="67"/>
      <c r="M271" s="192">
        <f>+K271/496900</f>
        <v>198.43143489635742</v>
      </c>
      <c r="X271" s="7"/>
      <c r="Y271" s="4"/>
    </row>
    <row r="272" spans="2:25" s="3" customFormat="1" ht="32" customHeight="1">
      <c r="B272" s="188">
        <f t="shared" si="29"/>
        <v>9</v>
      </c>
      <c r="C272" s="28" t="s">
        <v>336</v>
      </c>
      <c r="D272" s="28" t="s">
        <v>335</v>
      </c>
      <c r="E272" s="37" t="s">
        <v>341</v>
      </c>
      <c r="F272" s="128">
        <v>40007</v>
      </c>
      <c r="G272" s="128">
        <v>40458</v>
      </c>
      <c r="H272" s="99"/>
      <c r="I272" s="67"/>
      <c r="J272" s="66"/>
      <c r="K272" s="118">
        <v>88807200</v>
      </c>
      <c r="L272" s="67"/>
      <c r="M272" s="192">
        <f>+K272/496900</f>
        <v>178.72247937210707</v>
      </c>
      <c r="X272" s="7"/>
      <c r="Y272" s="4"/>
    </row>
    <row r="273" spans="2:25" s="3" customFormat="1" ht="36">
      <c r="B273" s="188">
        <f t="shared" si="29"/>
        <v>10</v>
      </c>
      <c r="C273" s="110" t="s">
        <v>161</v>
      </c>
      <c r="D273" s="110" t="s">
        <v>281</v>
      </c>
      <c r="E273" s="109" t="s">
        <v>365</v>
      </c>
      <c r="F273" s="130">
        <v>40360</v>
      </c>
      <c r="G273" s="130">
        <v>40725</v>
      </c>
      <c r="H273" s="167">
        <v>405250380</v>
      </c>
      <c r="I273" s="168">
        <v>756.63</v>
      </c>
      <c r="J273" s="66"/>
      <c r="K273" s="118">
        <v>38765200</v>
      </c>
      <c r="L273" s="67"/>
      <c r="M273" s="192">
        <f>+K273/515000</f>
        <v>75.272233009708742</v>
      </c>
      <c r="X273" s="7"/>
      <c r="Y273" s="4"/>
    </row>
    <row r="274" spans="2:25" s="3" customFormat="1" ht="24">
      <c r="B274" s="188">
        <f t="shared" si="29"/>
        <v>11</v>
      </c>
      <c r="C274" s="179" t="s">
        <v>369</v>
      </c>
      <c r="D274" s="179" t="s">
        <v>172</v>
      </c>
      <c r="E274" s="136" t="s">
        <v>372</v>
      </c>
      <c r="F274" s="239">
        <v>40929</v>
      </c>
      <c r="G274" s="239">
        <v>41081</v>
      </c>
      <c r="H274" s="167">
        <v>955298500</v>
      </c>
      <c r="I274" s="168">
        <v>1685.72</v>
      </c>
      <c r="J274" s="66"/>
      <c r="K274" s="119">
        <v>123567890</v>
      </c>
      <c r="L274" s="67"/>
      <c r="M274" s="192">
        <f>+K274/566700</f>
        <v>218.04815599082406</v>
      </c>
      <c r="X274" s="7"/>
      <c r="Y274" s="4"/>
    </row>
    <row r="275" spans="2:25" s="3" customFormat="1" ht="20" customHeight="1">
      <c r="B275" s="188">
        <f t="shared" si="29"/>
        <v>12</v>
      </c>
      <c r="C275" s="159" t="s">
        <v>370</v>
      </c>
      <c r="D275" s="159" t="s">
        <v>170</v>
      </c>
      <c r="E275" s="138" t="s">
        <v>373</v>
      </c>
      <c r="F275" s="240">
        <v>41320</v>
      </c>
      <c r="G275" s="240">
        <v>41532</v>
      </c>
      <c r="H275" s="169">
        <v>334235760</v>
      </c>
      <c r="I275" s="170">
        <v>566.98</v>
      </c>
      <c r="J275" s="66"/>
      <c r="K275" s="119">
        <v>43256970</v>
      </c>
      <c r="L275" s="67"/>
      <c r="M275" s="192">
        <f>+K275/589500</f>
        <v>73.379083969465654</v>
      </c>
      <c r="X275" s="7"/>
      <c r="Y275" s="4"/>
    </row>
    <row r="276" spans="2:25" s="3" customFormat="1" ht="36">
      <c r="B276" s="188">
        <f t="shared" si="29"/>
        <v>13</v>
      </c>
      <c r="C276" s="28" t="s">
        <v>349</v>
      </c>
      <c r="D276" s="28" t="s">
        <v>347</v>
      </c>
      <c r="E276" s="37" t="s">
        <v>375</v>
      </c>
      <c r="F276" s="128">
        <v>40361</v>
      </c>
      <c r="G276" s="128">
        <v>42064</v>
      </c>
      <c r="H276" s="99"/>
      <c r="I276" s="67"/>
      <c r="J276" s="66"/>
      <c r="K276" s="155">
        <v>252346250</v>
      </c>
      <c r="L276" s="67"/>
      <c r="M276" s="192">
        <f>+K276/589500</f>
        <v>428.06827820186601</v>
      </c>
      <c r="X276" s="7"/>
      <c r="Y276" s="4"/>
    </row>
    <row r="277" spans="2:25" s="3" customFormat="1" ht="48">
      <c r="B277" s="188">
        <f t="shared" si="29"/>
        <v>14</v>
      </c>
      <c r="C277" s="28" t="s">
        <v>377</v>
      </c>
      <c r="D277" s="28" t="s">
        <v>347</v>
      </c>
      <c r="E277" s="37" t="s">
        <v>376</v>
      </c>
      <c r="F277" s="128">
        <v>40361</v>
      </c>
      <c r="G277" s="128">
        <v>42064</v>
      </c>
      <c r="H277" s="99"/>
      <c r="I277" s="67"/>
      <c r="J277" s="66"/>
      <c r="K277" s="155">
        <v>52346250</v>
      </c>
      <c r="L277" s="67"/>
      <c r="M277" s="192">
        <f>+K277/589500</f>
        <v>88.797709923664115</v>
      </c>
      <c r="X277" s="7"/>
      <c r="Y277" s="4"/>
    </row>
    <row r="278" spans="2:25" s="3" customFormat="1" ht="25" thickBot="1">
      <c r="B278" s="225">
        <f t="shared" si="29"/>
        <v>15</v>
      </c>
      <c r="C278" s="314" t="s">
        <v>371</v>
      </c>
      <c r="D278" s="314" t="s">
        <v>170</v>
      </c>
      <c r="E278" s="313" t="s">
        <v>374</v>
      </c>
      <c r="F278" s="258">
        <v>43506</v>
      </c>
      <c r="G278" s="258">
        <v>43580</v>
      </c>
      <c r="H278" s="315">
        <v>212345670</v>
      </c>
      <c r="I278" s="316">
        <v>256.42</v>
      </c>
      <c r="J278" s="296"/>
      <c r="K278" s="317">
        <v>23576132</v>
      </c>
      <c r="L278" s="318"/>
      <c r="M278" s="203">
        <f>+K278/828116</f>
        <v>28.469600877171796</v>
      </c>
      <c r="X278" s="7"/>
      <c r="Y278" s="4"/>
    </row>
    <row r="279" spans="2:25" s="3" customFormat="1">
      <c r="B279" s="184"/>
      <c r="C279" s="333"/>
      <c r="D279" s="15"/>
      <c r="F279" s="144"/>
      <c r="G279" s="144"/>
      <c r="H279" s="6"/>
      <c r="I279" s="4"/>
      <c r="J279" s="7"/>
      <c r="K279" s="117"/>
      <c r="L279" s="4"/>
      <c r="M279" s="7"/>
      <c r="X279" s="7"/>
      <c r="Y279" s="4"/>
    </row>
    <row r="280" spans="2:25" s="3" customFormat="1">
      <c r="B280" s="186"/>
      <c r="C280" s="181"/>
      <c r="D280" s="181"/>
      <c r="E280"/>
      <c r="F280" s="181"/>
      <c r="G280" s="181"/>
      <c r="H280"/>
      <c r="I280"/>
      <c r="J280"/>
      <c r="K280" s="127"/>
      <c r="L280" s="4"/>
      <c r="M280" s="7"/>
      <c r="O280" s="15"/>
      <c r="P280" s="2"/>
      <c r="Q280" s="2"/>
      <c r="T280" s="5"/>
      <c r="U280" s="5"/>
      <c r="V280" s="6"/>
      <c r="W280" s="4"/>
      <c r="X280" s="7"/>
      <c r="Y280" s="4"/>
    </row>
    <row r="281" spans="2:25" s="3" customFormat="1">
      <c r="B281" s="186"/>
      <c r="C281" s="181"/>
      <c r="D281" s="181"/>
      <c r="E281"/>
      <c r="F281" s="181"/>
      <c r="G281" s="181"/>
      <c r="H281"/>
      <c r="I281"/>
      <c r="J281"/>
      <c r="K281" s="127"/>
      <c r="L281" s="4"/>
      <c r="M281" s="7"/>
    </row>
    <row r="282" spans="2:25" s="3" customFormat="1">
      <c r="B282" s="186"/>
      <c r="C282" s="181"/>
      <c r="D282" s="181"/>
      <c r="E282"/>
      <c r="F282" s="181"/>
      <c r="G282" s="181"/>
      <c r="H282"/>
      <c r="I282"/>
      <c r="J282"/>
      <c r="K282" s="127"/>
      <c r="L282" s="4"/>
      <c r="M282" s="7"/>
    </row>
    <row r="283" spans="2:25" s="3" customFormat="1">
      <c r="B283" s="186"/>
      <c r="C283" s="181"/>
      <c r="D283" s="181"/>
      <c r="E283"/>
      <c r="F283" s="181"/>
      <c r="G283" s="181"/>
      <c r="H283"/>
      <c r="I283"/>
      <c r="J283"/>
      <c r="K283" s="127"/>
      <c r="L283" s="4"/>
      <c r="M283" s="7"/>
    </row>
    <row r="284" spans="2:25" s="3" customFormat="1" ht="20" customHeight="1">
      <c r="B284" s="186"/>
      <c r="C284" s="181"/>
      <c r="D284" s="181"/>
      <c r="E284"/>
      <c r="F284" s="181"/>
      <c r="G284" s="181"/>
      <c r="H284"/>
      <c r="I284"/>
      <c r="J284"/>
      <c r="K284" s="127"/>
      <c r="L284" s="4"/>
      <c r="M284" s="7"/>
    </row>
    <row r="285" spans="2:25" s="3" customFormat="1">
      <c r="B285" s="186"/>
      <c r="C285" s="181"/>
      <c r="D285" s="181"/>
      <c r="E285"/>
      <c r="F285" s="181"/>
      <c r="G285" s="181"/>
      <c r="H285"/>
      <c r="I285"/>
      <c r="J285"/>
      <c r="K285" s="127"/>
      <c r="L285" s="4"/>
      <c r="M285" s="7"/>
    </row>
    <row r="286" spans="2:25" s="3" customFormat="1">
      <c r="B286" s="186"/>
      <c r="C286" s="181"/>
      <c r="D286" s="181"/>
      <c r="E286"/>
      <c r="F286" s="181"/>
      <c r="G286" s="181"/>
      <c r="H286"/>
      <c r="I286"/>
      <c r="J286"/>
      <c r="K286" s="127"/>
      <c r="L286" s="4"/>
      <c r="M286" s="7"/>
    </row>
    <row r="287" spans="2:25" s="3" customFormat="1">
      <c r="B287" s="186"/>
      <c r="C287" s="181"/>
      <c r="D287" s="181"/>
      <c r="E287"/>
      <c r="F287" s="181"/>
      <c r="G287" s="181"/>
      <c r="H287"/>
      <c r="I287"/>
      <c r="J287"/>
      <c r="K287" s="127"/>
      <c r="L287" s="4"/>
      <c r="M287" s="7"/>
    </row>
    <row r="288" spans="2:25" s="3" customFormat="1">
      <c r="B288" s="186"/>
      <c r="C288" s="181"/>
      <c r="D288" s="181"/>
      <c r="E288"/>
      <c r="F288" s="181"/>
      <c r="G288" s="181"/>
      <c r="H288"/>
      <c r="I288"/>
      <c r="J288"/>
      <c r="K288" s="127"/>
      <c r="L288" s="4"/>
      <c r="M288" s="7"/>
    </row>
    <row r="289" spans="2:11" s="3" customFormat="1">
      <c r="B289" s="186"/>
      <c r="C289" s="181"/>
      <c r="D289" s="181"/>
      <c r="E289"/>
      <c r="F289" s="181"/>
      <c r="G289" s="181"/>
      <c r="H289"/>
      <c r="I289"/>
      <c r="J289"/>
      <c r="K289" s="127"/>
    </row>
    <row r="290" spans="2:11" s="3" customFormat="1">
      <c r="B290" s="186"/>
      <c r="C290" s="181"/>
      <c r="D290" s="181"/>
      <c r="E290"/>
      <c r="F290" s="181"/>
      <c r="G290" s="181"/>
      <c r="H290"/>
      <c r="I290"/>
      <c r="J290"/>
      <c r="K290" s="127"/>
    </row>
    <row r="291" spans="2:11" s="3" customFormat="1">
      <c r="B291" s="186"/>
      <c r="C291" s="181"/>
      <c r="D291" s="181"/>
      <c r="E291"/>
      <c r="F291" s="181"/>
      <c r="G291" s="181"/>
      <c r="H291"/>
      <c r="I291"/>
      <c r="J291"/>
      <c r="K291" s="127"/>
    </row>
    <row r="292" spans="2:11" s="3" customFormat="1">
      <c r="B292" s="186"/>
      <c r="C292" s="181"/>
      <c r="D292" s="181"/>
      <c r="E292"/>
      <c r="F292" s="181"/>
      <c r="G292" s="181"/>
      <c r="H292"/>
      <c r="I292"/>
      <c r="J292"/>
      <c r="K292" s="127"/>
    </row>
    <row r="293" spans="2:11" s="3" customFormat="1">
      <c r="B293" s="186"/>
      <c r="C293" s="181"/>
      <c r="D293" s="181"/>
      <c r="E293"/>
      <c r="F293" s="181"/>
      <c r="G293" s="181"/>
      <c r="H293"/>
      <c r="I293"/>
      <c r="J293"/>
      <c r="K293" s="127"/>
    </row>
    <row r="294" spans="2:11" s="3" customFormat="1">
      <c r="B294" s="186"/>
      <c r="C294" s="181"/>
      <c r="D294" s="181"/>
      <c r="E294"/>
      <c r="F294" s="181"/>
      <c r="G294" s="181"/>
      <c r="H294"/>
      <c r="I294"/>
      <c r="J294"/>
      <c r="K294" s="127"/>
    </row>
    <row r="295" spans="2:11" s="3" customFormat="1">
      <c r="B295" s="186"/>
      <c r="C295" s="181"/>
      <c r="D295" s="181"/>
      <c r="E295"/>
      <c r="F295" s="181"/>
      <c r="G295" s="181"/>
      <c r="H295"/>
      <c r="I295"/>
      <c r="J295"/>
      <c r="K295" s="127"/>
    </row>
    <row r="296" spans="2:11" s="3" customFormat="1">
      <c r="B296" s="186"/>
      <c r="C296" s="181"/>
      <c r="D296" s="181"/>
      <c r="E296"/>
      <c r="F296" s="181"/>
      <c r="G296" s="181"/>
      <c r="H296"/>
      <c r="I296"/>
      <c r="J296"/>
      <c r="K296" s="127"/>
    </row>
    <row r="297" spans="2:11" s="3" customFormat="1">
      <c r="B297" s="186"/>
      <c r="C297" s="181"/>
      <c r="D297" s="181"/>
      <c r="E297"/>
      <c r="F297" s="181"/>
      <c r="G297" s="181"/>
      <c r="H297"/>
      <c r="I297"/>
      <c r="J297"/>
      <c r="K297" s="127"/>
    </row>
  </sheetData>
  <sheetProtection password="C23C" sheet="1" objects="1" scenarios="1" selectLockedCells="1" selectUnlockedCells="1"/>
  <mergeCells count="76">
    <mergeCell ref="K266:K267"/>
    <mergeCell ref="F49:F50"/>
    <mergeCell ref="F52:F53"/>
    <mergeCell ref="G49:G50"/>
    <mergeCell ref="G52:G53"/>
    <mergeCell ref="K49:K50"/>
    <mergeCell ref="K52:K53"/>
    <mergeCell ref="C37:K37"/>
    <mergeCell ref="C196:K196"/>
    <mergeCell ref="C195:K195"/>
    <mergeCell ref="C217:K217"/>
    <mergeCell ref="E49:E50"/>
    <mergeCell ref="M266:M267"/>
    <mergeCell ref="M42:M43"/>
    <mergeCell ref="M49:M50"/>
    <mergeCell ref="M52:M53"/>
    <mergeCell ref="C187:K187"/>
    <mergeCell ref="C183:K183"/>
    <mergeCell ref="C184:K184"/>
    <mergeCell ref="C192:K192"/>
    <mergeCell ref="C167:K167"/>
    <mergeCell ref="C150:K150"/>
    <mergeCell ref="C136:K136"/>
    <mergeCell ref="C119:K119"/>
    <mergeCell ref="C86:K86"/>
    <mergeCell ref="C75:K75"/>
    <mergeCell ref="C193:K193"/>
    <mergeCell ref="C259:K259"/>
    <mergeCell ref="C38:K38"/>
    <mergeCell ref="C260:K260"/>
    <mergeCell ref="C151:K151"/>
    <mergeCell ref="C168:K168"/>
    <mergeCell ref="C186:K186"/>
    <mergeCell ref="C218:K218"/>
    <mergeCell ref="E52:E53"/>
    <mergeCell ref="F42:F43"/>
    <mergeCell ref="K42:K43"/>
    <mergeCell ref="C42:C43"/>
    <mergeCell ref="D49:D50"/>
    <mergeCell ref="C49:C50"/>
    <mergeCell ref="C52:C53"/>
    <mergeCell ref="D52:D53"/>
    <mergeCell ref="C4:K4"/>
    <mergeCell ref="B8:B9"/>
    <mergeCell ref="E8:E9"/>
    <mergeCell ref="C8:C9"/>
    <mergeCell ref="D8:D9"/>
    <mergeCell ref="F8:F9"/>
    <mergeCell ref="G8:G9"/>
    <mergeCell ref="K8:K9"/>
    <mergeCell ref="C5:K5"/>
    <mergeCell ref="M8:M9"/>
    <mergeCell ref="C10:C11"/>
    <mergeCell ref="F10:F11"/>
    <mergeCell ref="B10:B11"/>
    <mergeCell ref="E10:E11"/>
    <mergeCell ref="D10:D11"/>
    <mergeCell ref="G10:G11"/>
    <mergeCell ref="K10:K11"/>
    <mergeCell ref="M10:M11"/>
    <mergeCell ref="D266:D267"/>
    <mergeCell ref="B42:B43"/>
    <mergeCell ref="E42:E43"/>
    <mergeCell ref="D42:D43"/>
    <mergeCell ref="G42:G43"/>
    <mergeCell ref="B266:B267"/>
    <mergeCell ref="C76:K76"/>
    <mergeCell ref="C87:K87"/>
    <mergeCell ref="C120:K120"/>
    <mergeCell ref="C137:K137"/>
    <mergeCell ref="B52:B53"/>
    <mergeCell ref="G266:G267"/>
    <mergeCell ref="B49:B50"/>
    <mergeCell ref="C266:C267"/>
    <mergeCell ref="F266:F267"/>
    <mergeCell ref="E266:E267"/>
  </mergeCells>
  <phoneticPr fontId="18" type="noConversion"/>
  <pageMargins left="0.75000000000000011" right="0.75000000000000011" top="0.40944881889763785" bottom="0.40944881889763785" header="0.5" footer="0.5"/>
  <pageSetup scale="60" orientation="portrait" horizontalDpi="4294967292" verticalDpi="4294967292"/>
  <rowBreaks count="1" manualBreakCount="1">
    <brk id="114" max="16383" man="1"/>
  </rowBreaks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AB48"/>
  <sheetViews>
    <sheetView topLeftCell="B1" workbookViewId="0">
      <selection activeCell="B1" sqref="B1"/>
    </sheetView>
  </sheetViews>
  <sheetFormatPr baseColWidth="10" defaultRowHeight="15" x14ac:dyDescent="0"/>
  <cols>
    <col min="1" max="1" width="1.33203125" style="1" hidden="1" customWidth="1"/>
    <col min="2" max="2" width="4.33203125" style="184" customWidth="1"/>
    <col min="3" max="3" width="15.83203125" style="2" customWidth="1"/>
    <col min="4" max="4" width="20.83203125" style="15" customWidth="1"/>
    <col min="5" max="5" width="40.83203125" style="3" customWidth="1"/>
    <col min="6" max="7" width="10.83203125" style="144" customWidth="1"/>
    <col min="8" max="8" width="8.1640625" style="6" hidden="1" customWidth="1"/>
    <col min="9" max="9" width="14.5" style="4" hidden="1" customWidth="1"/>
    <col min="10" max="10" width="9.83203125" style="7" hidden="1" customWidth="1"/>
    <col min="11" max="11" width="15.83203125" style="117" customWidth="1"/>
    <col min="12" max="12" width="15.33203125" style="4" hidden="1" customWidth="1"/>
    <col min="13" max="13" width="15.83203125" style="7" customWidth="1"/>
    <col min="14" max="16384" width="10.83203125" style="3"/>
  </cols>
  <sheetData>
    <row r="1" spans="1:28" ht="18">
      <c r="A1" s="3"/>
      <c r="B1" s="182"/>
      <c r="C1" s="76"/>
      <c r="D1" s="75"/>
      <c r="E1" s="78" t="s">
        <v>0</v>
      </c>
      <c r="F1" s="234"/>
      <c r="G1" s="235"/>
      <c r="H1" s="79"/>
      <c r="I1" s="80"/>
      <c r="J1" s="81"/>
      <c r="K1" s="116"/>
      <c r="L1" s="80"/>
      <c r="M1" s="82"/>
      <c r="O1"/>
      <c r="AB1"/>
    </row>
    <row r="2" spans="1:28" ht="18">
      <c r="A2" s="3"/>
      <c r="B2" s="182"/>
      <c r="C2" s="76"/>
      <c r="D2" s="75"/>
      <c r="E2" s="78" t="s">
        <v>256</v>
      </c>
      <c r="F2" s="234"/>
      <c r="G2" s="235"/>
      <c r="H2" s="79"/>
      <c r="I2" s="80"/>
      <c r="J2" s="81"/>
      <c r="K2" s="116"/>
      <c r="L2" s="80"/>
      <c r="M2" s="82"/>
      <c r="O2"/>
      <c r="AB2"/>
    </row>
    <row r="3" spans="1:28" ht="20" customHeight="1">
      <c r="A3" s="3"/>
      <c r="B3" s="183"/>
      <c r="C3" s="84"/>
      <c r="D3" s="83"/>
      <c r="E3" s="85"/>
      <c r="F3" s="236"/>
      <c r="G3" s="236"/>
      <c r="H3" s="86"/>
      <c r="I3" s="9"/>
      <c r="J3" s="9"/>
      <c r="K3" s="115"/>
      <c r="L3" s="9"/>
      <c r="M3" s="9"/>
      <c r="O3"/>
      <c r="AB3"/>
    </row>
    <row r="4" spans="1:28" ht="23">
      <c r="A4" s="3"/>
      <c r="B4" s="29"/>
      <c r="C4" s="344" t="s">
        <v>358</v>
      </c>
      <c r="D4" s="344"/>
      <c r="E4" s="344"/>
      <c r="F4" s="344"/>
      <c r="G4" s="344"/>
      <c r="H4" s="344"/>
      <c r="I4" s="344"/>
      <c r="J4" s="344"/>
      <c r="K4" s="344"/>
      <c r="L4" s="87"/>
      <c r="M4" s="87"/>
      <c r="O4"/>
      <c r="AB4"/>
    </row>
    <row r="5" spans="1:28" ht="24" thickBot="1">
      <c r="A5" s="3"/>
      <c r="B5" s="29"/>
      <c r="C5" s="344" t="s">
        <v>271</v>
      </c>
      <c r="D5" s="344"/>
      <c r="E5" s="344"/>
      <c r="F5" s="344"/>
      <c r="G5" s="344"/>
      <c r="H5" s="344"/>
      <c r="I5" s="344"/>
      <c r="J5" s="344"/>
      <c r="K5" s="344"/>
      <c r="L5" s="87"/>
      <c r="M5" s="87"/>
      <c r="O5"/>
      <c r="AB5"/>
    </row>
    <row r="6" spans="1:28" ht="46" thickBot="1">
      <c r="A6" s="3"/>
      <c r="B6" s="241" t="s">
        <v>1</v>
      </c>
      <c r="C6" s="244" t="s">
        <v>2</v>
      </c>
      <c r="D6" s="212" t="s">
        <v>3</v>
      </c>
      <c r="E6" s="212" t="s">
        <v>4</v>
      </c>
      <c r="F6" s="213" t="s">
        <v>5</v>
      </c>
      <c r="G6" s="213" t="s">
        <v>6</v>
      </c>
      <c r="H6" s="214" t="s">
        <v>7</v>
      </c>
      <c r="I6" s="215" t="s">
        <v>8</v>
      </c>
      <c r="J6" s="215" t="s">
        <v>9</v>
      </c>
      <c r="K6" s="216" t="s">
        <v>250</v>
      </c>
      <c r="L6" s="215" t="s">
        <v>10</v>
      </c>
      <c r="M6" s="217" t="s">
        <v>11</v>
      </c>
      <c r="O6"/>
      <c r="AB6"/>
    </row>
    <row r="7" spans="1:28">
      <c r="A7" s="3"/>
      <c r="B7" s="345">
        <v>1</v>
      </c>
      <c r="C7" s="359" t="s">
        <v>418</v>
      </c>
      <c r="D7" s="348" t="s">
        <v>292</v>
      </c>
      <c r="E7" s="346" t="s">
        <v>290</v>
      </c>
      <c r="F7" s="349">
        <v>34839</v>
      </c>
      <c r="G7" s="349">
        <v>34885</v>
      </c>
      <c r="H7" s="220"/>
      <c r="I7" s="221"/>
      <c r="J7" s="222"/>
      <c r="K7" s="350">
        <v>27347000</v>
      </c>
      <c r="L7" s="223"/>
      <c r="M7" s="340">
        <f t="shared" ref="M7:M8" si="0">K7/118934</f>
        <v>229.9342492474818</v>
      </c>
      <c r="O7"/>
      <c r="AB7"/>
    </row>
    <row r="8" spans="1:28" ht="21" customHeight="1">
      <c r="A8" s="3"/>
      <c r="B8" s="342"/>
      <c r="C8" s="360"/>
      <c r="D8" s="336"/>
      <c r="E8" s="338"/>
      <c r="F8" s="339"/>
      <c r="G8" s="339"/>
      <c r="H8" s="34"/>
      <c r="I8" s="88"/>
      <c r="J8" s="36"/>
      <c r="K8" s="343"/>
      <c r="L8" s="89"/>
      <c r="M8" s="341">
        <f t="shared" si="0"/>
        <v>0</v>
      </c>
      <c r="O8"/>
      <c r="AB8"/>
    </row>
    <row r="9" spans="1:28">
      <c r="A9" s="3"/>
      <c r="B9" s="342">
        <f>+B7+1</f>
        <v>2</v>
      </c>
      <c r="C9" s="360" t="s">
        <v>419</v>
      </c>
      <c r="D9" s="336" t="s">
        <v>261</v>
      </c>
      <c r="E9" s="338" t="s">
        <v>291</v>
      </c>
      <c r="F9" s="339">
        <v>35101</v>
      </c>
      <c r="G9" s="339">
        <v>35141</v>
      </c>
      <c r="H9" s="34"/>
      <c r="I9" s="88"/>
      <c r="J9" s="36"/>
      <c r="K9" s="343">
        <v>17356800</v>
      </c>
      <c r="L9" s="89"/>
      <c r="M9" s="341">
        <f>K9/142125</f>
        <v>122.12348284960422</v>
      </c>
      <c r="O9"/>
      <c r="AB9"/>
    </row>
    <row r="10" spans="1:28">
      <c r="A10" s="3"/>
      <c r="B10" s="342"/>
      <c r="C10" s="360"/>
      <c r="D10" s="336"/>
      <c r="E10" s="338"/>
      <c r="F10" s="339"/>
      <c r="G10" s="339"/>
      <c r="H10" s="34"/>
      <c r="I10" s="88"/>
      <c r="J10" s="36"/>
      <c r="K10" s="343"/>
      <c r="L10" s="89"/>
      <c r="M10" s="341"/>
      <c r="O10"/>
      <c r="AB10"/>
    </row>
    <row r="11" spans="1:28" ht="25">
      <c r="A11" s="3"/>
      <c r="B11" s="242">
        <v>3</v>
      </c>
      <c r="C11" s="245" t="s">
        <v>420</v>
      </c>
      <c r="D11" s="94" t="s">
        <v>295</v>
      </c>
      <c r="E11" s="37" t="s">
        <v>296</v>
      </c>
      <c r="F11" s="128">
        <v>36234</v>
      </c>
      <c r="G11" s="128">
        <v>36356</v>
      </c>
      <c r="H11" s="34"/>
      <c r="I11" s="88"/>
      <c r="J11" s="36"/>
      <c r="K11" s="113">
        <v>38754000</v>
      </c>
      <c r="L11" s="89"/>
      <c r="M11" s="189">
        <f>K11/236460</f>
        <v>163.89241309312357</v>
      </c>
      <c r="O11"/>
      <c r="AB11"/>
    </row>
    <row r="12" spans="1:28" ht="48">
      <c r="A12" s="3"/>
      <c r="B12" s="242">
        <v>4</v>
      </c>
      <c r="C12" s="245" t="s">
        <v>421</v>
      </c>
      <c r="D12" s="53" t="s">
        <v>411</v>
      </c>
      <c r="E12" s="38" t="s">
        <v>413</v>
      </c>
      <c r="F12" s="131">
        <v>37735</v>
      </c>
      <c r="G12" s="131">
        <v>37796</v>
      </c>
      <c r="H12" s="39">
        <f t="shared" ref="H12" si="1">G12-F12</f>
        <v>61</v>
      </c>
      <c r="I12" s="40">
        <v>2215983301</v>
      </c>
      <c r="J12" s="41">
        <v>1</v>
      </c>
      <c r="K12" s="119">
        <v>22000000</v>
      </c>
      <c r="L12" s="42">
        <f>+K12/2778.21</f>
        <v>7918.7678397241389</v>
      </c>
      <c r="M12" s="189">
        <f>K12/332000</f>
        <v>66.265060240963862</v>
      </c>
      <c r="O12"/>
      <c r="AB12"/>
    </row>
    <row r="13" spans="1:28" ht="96">
      <c r="A13" s="3"/>
      <c r="B13" s="242">
        <v>5</v>
      </c>
      <c r="C13" s="245" t="s">
        <v>422</v>
      </c>
      <c r="D13" s="94" t="s">
        <v>411</v>
      </c>
      <c r="E13" s="139" t="s">
        <v>412</v>
      </c>
      <c r="F13" s="128">
        <v>38651</v>
      </c>
      <c r="G13" s="128">
        <v>38712</v>
      </c>
      <c r="H13" s="99"/>
      <c r="I13" s="67"/>
      <c r="J13" s="66"/>
      <c r="K13" s="118">
        <v>65000000</v>
      </c>
      <c r="L13" s="67"/>
      <c r="M13" s="189">
        <f>K13/381500</f>
        <v>170.38007863695938</v>
      </c>
      <c r="O13"/>
      <c r="AB13"/>
    </row>
    <row r="14" spans="1:28" ht="41" customHeight="1">
      <c r="A14" s="3"/>
      <c r="B14" s="242">
        <v>6</v>
      </c>
      <c r="C14" s="245" t="s">
        <v>423</v>
      </c>
      <c r="D14" s="94" t="s">
        <v>281</v>
      </c>
      <c r="E14" s="103" t="s">
        <v>289</v>
      </c>
      <c r="F14" s="128">
        <v>38874</v>
      </c>
      <c r="G14" s="128">
        <v>38935</v>
      </c>
      <c r="H14" s="34"/>
      <c r="I14" s="88"/>
      <c r="J14" s="36"/>
      <c r="K14" s="114">
        <v>57550000</v>
      </c>
      <c r="L14" s="89"/>
      <c r="M14" s="189">
        <f>K14/408000</f>
        <v>141.05392156862746</v>
      </c>
      <c r="O14"/>
      <c r="AB14"/>
    </row>
    <row r="15" spans="1:28" ht="48">
      <c r="A15" s="3"/>
      <c r="B15" s="242">
        <v>7</v>
      </c>
      <c r="C15" s="245" t="s">
        <v>424</v>
      </c>
      <c r="D15" s="53" t="s">
        <v>224</v>
      </c>
      <c r="E15" s="37" t="s">
        <v>397</v>
      </c>
      <c r="F15" s="128">
        <v>39028</v>
      </c>
      <c r="G15" s="128">
        <v>39089</v>
      </c>
      <c r="H15" s="34"/>
      <c r="I15" s="88"/>
      <c r="J15" s="36"/>
      <c r="K15" s="114">
        <v>49393926</v>
      </c>
      <c r="L15" s="89"/>
      <c r="M15" s="189">
        <f>K15/408000</f>
        <v>121.06354411764706</v>
      </c>
      <c r="O15"/>
      <c r="AB15"/>
    </row>
    <row r="16" spans="1:28" ht="36">
      <c r="A16" s="3"/>
      <c r="B16" s="242">
        <v>8</v>
      </c>
      <c r="C16" s="245" t="s">
        <v>425</v>
      </c>
      <c r="D16" s="53" t="s">
        <v>347</v>
      </c>
      <c r="E16" s="37" t="s">
        <v>394</v>
      </c>
      <c r="F16" s="128">
        <v>39636</v>
      </c>
      <c r="G16" s="128">
        <v>39698</v>
      </c>
      <c r="H16" s="34"/>
      <c r="I16" s="88"/>
      <c r="J16" s="36"/>
      <c r="K16" s="114">
        <v>38339200</v>
      </c>
      <c r="L16" s="89"/>
      <c r="M16" s="192">
        <f>+K16/461500</f>
        <v>83.075189599133267</v>
      </c>
      <c r="O16"/>
      <c r="AB16"/>
    </row>
    <row r="17" spans="1:28" ht="36">
      <c r="A17" s="3"/>
      <c r="B17" s="242">
        <v>9</v>
      </c>
      <c r="C17" s="245" t="s">
        <v>426</v>
      </c>
      <c r="D17" s="53" t="s">
        <v>224</v>
      </c>
      <c r="E17" s="37" t="s">
        <v>395</v>
      </c>
      <c r="F17" s="128">
        <v>39887</v>
      </c>
      <c r="G17" s="128">
        <v>39948</v>
      </c>
      <c r="H17" s="34"/>
      <c r="I17" s="88"/>
      <c r="J17" s="36"/>
      <c r="K17" s="114">
        <v>46539300</v>
      </c>
      <c r="L17" s="89"/>
      <c r="M17" s="192">
        <f>+K17/496900</f>
        <v>93.659287583014688</v>
      </c>
      <c r="O17"/>
      <c r="AB17"/>
    </row>
    <row r="18" spans="1:28" ht="48">
      <c r="A18" s="3"/>
      <c r="B18" s="242">
        <v>10</v>
      </c>
      <c r="C18" s="245" t="s">
        <v>427</v>
      </c>
      <c r="D18" s="53" t="s">
        <v>396</v>
      </c>
      <c r="E18" s="37" t="s">
        <v>398</v>
      </c>
      <c r="F18" s="128">
        <v>40044</v>
      </c>
      <c r="G18" s="128">
        <v>40136</v>
      </c>
      <c r="H18" s="34"/>
      <c r="I18" s="88"/>
      <c r="J18" s="36"/>
      <c r="K18" s="114">
        <v>65393000</v>
      </c>
      <c r="L18" s="89"/>
      <c r="M18" s="192">
        <f>+K18/496900</f>
        <v>131.60193197826524</v>
      </c>
      <c r="O18"/>
      <c r="AB18"/>
    </row>
    <row r="19" spans="1:28" ht="36">
      <c r="A19" s="3"/>
      <c r="B19" s="242">
        <v>11</v>
      </c>
      <c r="C19" s="245" t="s">
        <v>431</v>
      </c>
      <c r="D19" s="53" t="s">
        <v>347</v>
      </c>
      <c r="E19" s="37" t="s">
        <v>399</v>
      </c>
      <c r="F19" s="128">
        <v>40379</v>
      </c>
      <c r="G19" s="128">
        <v>40441</v>
      </c>
      <c r="H19" s="34"/>
      <c r="I19" s="88"/>
      <c r="J19" s="36"/>
      <c r="K19" s="114">
        <v>38339200</v>
      </c>
      <c r="L19" s="89"/>
      <c r="M19" s="192">
        <f>+K19/515000</f>
        <v>74.445048543689325</v>
      </c>
      <c r="O19"/>
      <c r="AB19"/>
    </row>
    <row r="20" spans="1:28" ht="48">
      <c r="A20" s="3"/>
      <c r="B20" s="242">
        <v>12</v>
      </c>
      <c r="C20" s="245" t="s">
        <v>432</v>
      </c>
      <c r="D20" s="53" t="s">
        <v>347</v>
      </c>
      <c r="E20" s="37" t="s">
        <v>402</v>
      </c>
      <c r="F20" s="128">
        <v>40704</v>
      </c>
      <c r="G20" s="128">
        <v>40765</v>
      </c>
      <c r="H20" s="34"/>
      <c r="I20" s="88"/>
      <c r="J20" s="36"/>
      <c r="K20" s="114">
        <v>47392600</v>
      </c>
      <c r="L20" s="89"/>
      <c r="M20" s="192">
        <f>+K20/535600</f>
        <v>88.485063480209107</v>
      </c>
      <c r="O20"/>
      <c r="AB20"/>
    </row>
    <row r="21" spans="1:28" ht="48">
      <c r="A21" s="3"/>
      <c r="B21" s="242">
        <v>13</v>
      </c>
      <c r="C21" s="245" t="s">
        <v>433</v>
      </c>
      <c r="D21" s="53" t="s">
        <v>403</v>
      </c>
      <c r="E21" s="37" t="s">
        <v>400</v>
      </c>
      <c r="F21" s="128">
        <v>40983</v>
      </c>
      <c r="G21" s="128">
        <v>41044</v>
      </c>
      <c r="H21" s="34"/>
      <c r="I21" s="88"/>
      <c r="J21" s="36"/>
      <c r="K21" s="114">
        <v>73930000</v>
      </c>
      <c r="L21" s="89"/>
      <c r="M21" s="192">
        <f>+K21/566700</f>
        <v>130.45703193929768</v>
      </c>
      <c r="O21"/>
      <c r="AB21"/>
    </row>
    <row r="22" spans="1:28" ht="60">
      <c r="A22" s="3"/>
      <c r="B22" s="242">
        <v>14</v>
      </c>
      <c r="C22" s="245" t="s">
        <v>434</v>
      </c>
      <c r="D22" s="94" t="s">
        <v>281</v>
      </c>
      <c r="E22" s="37" t="s">
        <v>401</v>
      </c>
      <c r="F22" s="128">
        <v>41396</v>
      </c>
      <c r="G22" s="128">
        <v>41488</v>
      </c>
      <c r="H22" s="34"/>
      <c r="I22" s="88"/>
      <c r="J22" s="36"/>
      <c r="K22" s="114">
        <v>88392000</v>
      </c>
      <c r="L22" s="89"/>
      <c r="M22" s="192">
        <f>+K22/589500</f>
        <v>149.94402035623409</v>
      </c>
      <c r="O22"/>
      <c r="AB22"/>
    </row>
    <row r="23" spans="1:28" ht="36">
      <c r="A23" s="3"/>
      <c r="B23" s="242">
        <v>15</v>
      </c>
      <c r="C23" s="245" t="s">
        <v>435</v>
      </c>
      <c r="D23" s="53" t="s">
        <v>347</v>
      </c>
      <c r="E23" s="37" t="s">
        <v>404</v>
      </c>
      <c r="F23" s="128">
        <v>41713</v>
      </c>
      <c r="G23" s="128">
        <v>41774</v>
      </c>
      <c r="H23" s="34"/>
      <c r="I23" s="88"/>
      <c r="J23" s="36"/>
      <c r="K23" s="114">
        <v>55334000</v>
      </c>
      <c r="L23" s="89"/>
      <c r="M23" s="192">
        <f>+K23/616000</f>
        <v>89.827922077922082</v>
      </c>
      <c r="O23"/>
      <c r="AB23"/>
    </row>
    <row r="24" spans="1:28" ht="48">
      <c r="A24" s="3"/>
      <c r="B24" s="242">
        <v>16</v>
      </c>
      <c r="C24" s="245" t="s">
        <v>436</v>
      </c>
      <c r="D24" s="53" t="s">
        <v>347</v>
      </c>
      <c r="E24" s="37" t="s">
        <v>405</v>
      </c>
      <c r="F24" s="128">
        <v>42228</v>
      </c>
      <c r="G24" s="128">
        <v>42320</v>
      </c>
      <c r="H24" s="34"/>
      <c r="I24" s="88"/>
      <c r="J24" s="36"/>
      <c r="K24" s="114">
        <v>64683000</v>
      </c>
      <c r="L24" s="42"/>
      <c r="M24" s="192">
        <f>+K24/644350</f>
        <v>100.38488399161946</v>
      </c>
      <c r="O24"/>
      <c r="AB24"/>
    </row>
    <row r="25" spans="1:28" ht="36">
      <c r="A25" s="3"/>
      <c r="B25" s="242">
        <v>17</v>
      </c>
      <c r="C25" s="246" t="s">
        <v>430</v>
      </c>
      <c r="D25" s="53" t="s">
        <v>406</v>
      </c>
      <c r="E25" s="37" t="s">
        <v>407</v>
      </c>
      <c r="F25" s="128">
        <v>42410</v>
      </c>
      <c r="G25" s="128">
        <v>42470</v>
      </c>
      <c r="H25" s="34"/>
      <c r="I25" s="88"/>
      <c r="J25" s="36"/>
      <c r="K25" s="114">
        <v>74500780</v>
      </c>
      <c r="L25" s="42"/>
      <c r="M25" s="192">
        <f>+K25/689455</f>
        <v>108.05749468783314</v>
      </c>
      <c r="O25"/>
      <c r="AB25"/>
    </row>
    <row r="26" spans="1:28" ht="48">
      <c r="A26" s="3"/>
      <c r="B26" s="242">
        <v>18</v>
      </c>
      <c r="C26" s="246" t="s">
        <v>429</v>
      </c>
      <c r="D26" s="53" t="s">
        <v>409</v>
      </c>
      <c r="E26" s="37" t="s">
        <v>408</v>
      </c>
      <c r="F26" s="128">
        <v>42644</v>
      </c>
      <c r="G26" s="128">
        <v>42705</v>
      </c>
      <c r="H26" s="128">
        <v>42470</v>
      </c>
      <c r="I26" s="88"/>
      <c r="J26" s="36"/>
      <c r="K26" s="114">
        <v>28576200</v>
      </c>
      <c r="L26" s="42"/>
      <c r="M26" s="192">
        <f>+K26/689455</f>
        <v>41.447520142721423</v>
      </c>
      <c r="O26"/>
      <c r="AB26"/>
    </row>
    <row r="27" spans="1:28" ht="47" customHeight="1">
      <c r="A27" s="3"/>
      <c r="B27" s="242">
        <v>19</v>
      </c>
      <c r="C27" s="245" t="s">
        <v>437</v>
      </c>
      <c r="D27" s="94" t="s">
        <v>281</v>
      </c>
      <c r="E27" s="37" t="s">
        <v>414</v>
      </c>
      <c r="F27" s="128">
        <v>42865</v>
      </c>
      <c r="G27" s="128">
        <v>42957</v>
      </c>
      <c r="H27" s="128">
        <v>42470</v>
      </c>
      <c r="I27" s="88"/>
      <c r="J27" s="36"/>
      <c r="K27" s="114">
        <v>57800000</v>
      </c>
      <c r="L27" s="42"/>
      <c r="M27" s="192">
        <f>+K27/737717</f>
        <v>78.349827915040592</v>
      </c>
      <c r="O27"/>
      <c r="AB27"/>
    </row>
    <row r="28" spans="1:28" ht="36">
      <c r="A28" s="3"/>
      <c r="B28" s="242">
        <v>20</v>
      </c>
      <c r="C28" s="245" t="s">
        <v>438</v>
      </c>
      <c r="D28" s="53" t="s">
        <v>347</v>
      </c>
      <c r="E28" s="37" t="s">
        <v>399</v>
      </c>
      <c r="F28" s="128">
        <v>42948</v>
      </c>
      <c r="G28" s="128">
        <v>43009</v>
      </c>
      <c r="H28" s="128">
        <v>42470</v>
      </c>
      <c r="I28" s="88"/>
      <c r="J28" s="36"/>
      <c r="K28" s="114">
        <v>85750800</v>
      </c>
      <c r="L28" s="42"/>
      <c r="M28" s="192">
        <f>+K28/737717</f>
        <v>116.2380696120599</v>
      </c>
      <c r="O28"/>
      <c r="AB28"/>
    </row>
    <row r="29" spans="1:28" ht="60">
      <c r="A29" s="3"/>
      <c r="B29" s="242">
        <v>21</v>
      </c>
      <c r="C29" s="246" t="s">
        <v>428</v>
      </c>
      <c r="D29" s="94" t="s">
        <v>416</v>
      </c>
      <c r="E29" s="37" t="s">
        <v>415</v>
      </c>
      <c r="F29" s="128">
        <v>43205</v>
      </c>
      <c r="G29" s="128">
        <v>43253</v>
      </c>
      <c r="H29" s="34"/>
      <c r="I29" s="88"/>
      <c r="J29" s="36"/>
      <c r="K29" s="114">
        <v>97892000</v>
      </c>
      <c r="L29" s="89"/>
      <c r="M29" s="192">
        <f>+K29/781242</f>
        <v>125.30304310316137</v>
      </c>
      <c r="O29"/>
      <c r="AB29"/>
    </row>
    <row r="30" spans="1:28" ht="37" thickBot="1">
      <c r="A30" s="3"/>
      <c r="B30" s="243">
        <v>22</v>
      </c>
      <c r="C30" s="247" t="s">
        <v>439</v>
      </c>
      <c r="D30" s="226" t="s">
        <v>281</v>
      </c>
      <c r="E30" s="227" t="s">
        <v>417</v>
      </c>
      <c r="F30" s="228">
        <v>43353</v>
      </c>
      <c r="G30" s="228">
        <v>43414</v>
      </c>
      <c r="H30" s="228">
        <v>42470</v>
      </c>
      <c r="I30" s="229"/>
      <c r="J30" s="230"/>
      <c r="K30" s="231">
        <v>123450000</v>
      </c>
      <c r="L30" s="232"/>
      <c r="M30" s="203">
        <f>+K30/781242</f>
        <v>158.01761810040935</v>
      </c>
      <c r="O30"/>
      <c r="AB30"/>
    </row>
    <row r="31" spans="1:28" ht="46" customHeight="1">
      <c r="A31" s="3"/>
      <c r="O31"/>
      <c r="AB31"/>
    </row>
    <row r="32" spans="1:28">
      <c r="A32" s="3"/>
      <c r="B32" s="186"/>
      <c r="C32"/>
      <c r="D32" s="181"/>
      <c r="E32"/>
      <c r="F32" s="181"/>
      <c r="G32" s="181"/>
      <c r="H32"/>
      <c r="I32"/>
      <c r="J32"/>
      <c r="K32" s="127"/>
    </row>
    <row r="33" spans="1:13">
      <c r="A33" s="3"/>
      <c r="B33" s="186"/>
      <c r="C33"/>
      <c r="D33" s="181"/>
      <c r="E33"/>
      <c r="F33" s="181"/>
      <c r="G33" s="181"/>
      <c r="H33"/>
      <c r="I33"/>
      <c r="J33"/>
      <c r="K33" s="127"/>
    </row>
    <row r="34" spans="1:13">
      <c r="A34" s="3"/>
      <c r="B34" s="186"/>
      <c r="C34"/>
      <c r="D34" s="181"/>
      <c r="E34"/>
      <c r="F34" s="181"/>
      <c r="G34" s="181"/>
      <c r="H34"/>
      <c r="I34"/>
      <c r="J34"/>
      <c r="K34" s="127"/>
    </row>
    <row r="35" spans="1:13">
      <c r="A35" s="3"/>
      <c r="B35" s="186"/>
      <c r="C35"/>
      <c r="D35" s="181"/>
      <c r="E35"/>
      <c r="F35" s="181"/>
      <c r="G35" s="181"/>
      <c r="H35"/>
      <c r="I35"/>
      <c r="J35"/>
      <c r="K35" s="127"/>
    </row>
    <row r="36" spans="1:13">
      <c r="A36" s="3"/>
      <c r="B36" s="186"/>
      <c r="C36"/>
      <c r="D36" s="181"/>
      <c r="E36"/>
      <c r="F36" s="181"/>
      <c r="G36" s="181"/>
      <c r="H36"/>
      <c r="I36"/>
      <c r="J36"/>
      <c r="K36" s="127"/>
    </row>
    <row r="37" spans="1:13">
      <c r="A37" s="3"/>
      <c r="B37" s="186"/>
      <c r="C37"/>
      <c r="D37" s="181"/>
      <c r="E37"/>
      <c r="F37" s="181"/>
      <c r="G37" s="181"/>
      <c r="H37"/>
      <c r="I37"/>
      <c r="J37"/>
      <c r="K37" s="127"/>
    </row>
    <row r="38" spans="1:13">
      <c r="A38" s="3"/>
      <c r="B38" s="186"/>
      <c r="C38"/>
      <c r="D38" s="181"/>
      <c r="E38"/>
      <c r="F38" s="181"/>
      <c r="G38" s="181"/>
      <c r="H38"/>
      <c r="I38"/>
      <c r="J38"/>
      <c r="K38" s="127"/>
    </row>
    <row r="39" spans="1:13">
      <c r="A39" s="3"/>
      <c r="B39" s="186"/>
      <c r="C39"/>
      <c r="D39" s="181"/>
      <c r="E39"/>
      <c r="F39" s="181"/>
      <c r="G39" s="181"/>
      <c r="H39"/>
      <c r="I39"/>
      <c r="J39"/>
      <c r="K39" s="127"/>
    </row>
    <row r="40" spans="1:13">
      <c r="A40" s="3"/>
      <c r="B40" s="186"/>
      <c r="C40"/>
      <c r="D40" s="181"/>
      <c r="E40"/>
      <c r="F40" s="181"/>
      <c r="G40" s="181"/>
      <c r="H40"/>
      <c r="I40"/>
      <c r="J40"/>
      <c r="K40" s="127"/>
      <c r="L40" s="3"/>
      <c r="M40" s="3"/>
    </row>
    <row r="41" spans="1:13">
      <c r="A41" s="3"/>
      <c r="B41" s="186"/>
      <c r="C41"/>
      <c r="D41" s="181"/>
      <c r="E41"/>
      <c r="F41" s="181"/>
      <c r="G41" s="181"/>
      <c r="H41"/>
      <c r="I41"/>
      <c r="J41"/>
      <c r="K41" s="127"/>
      <c r="L41" s="3"/>
      <c r="M41" s="3"/>
    </row>
    <row r="42" spans="1:13">
      <c r="A42" s="3"/>
      <c r="B42" s="186"/>
      <c r="C42"/>
      <c r="D42" s="181"/>
      <c r="E42"/>
      <c r="F42" s="181"/>
      <c r="G42" s="181"/>
      <c r="H42"/>
      <c r="I42"/>
      <c r="J42"/>
      <c r="K42" s="127"/>
      <c r="L42" s="3"/>
      <c r="M42" s="3"/>
    </row>
    <row r="43" spans="1:13">
      <c r="A43" s="3"/>
      <c r="B43" s="186"/>
      <c r="C43"/>
      <c r="D43" s="181"/>
      <c r="E43"/>
      <c r="F43" s="181"/>
      <c r="G43" s="181"/>
      <c r="H43"/>
      <c r="I43"/>
      <c r="J43"/>
      <c r="K43" s="127"/>
      <c r="L43" s="3"/>
      <c r="M43" s="3"/>
    </row>
    <row r="44" spans="1:13">
      <c r="A44" s="3"/>
      <c r="B44" s="186"/>
      <c r="C44"/>
      <c r="D44" s="181"/>
      <c r="E44"/>
      <c r="F44" s="181"/>
      <c r="G44" s="181"/>
      <c r="H44"/>
      <c r="I44"/>
      <c r="J44"/>
      <c r="K44" s="127"/>
      <c r="L44" s="3"/>
      <c r="M44" s="3"/>
    </row>
    <row r="45" spans="1:13">
      <c r="A45" s="3"/>
      <c r="B45" s="186"/>
      <c r="C45"/>
      <c r="D45" s="181"/>
      <c r="E45"/>
      <c r="F45" s="181"/>
      <c r="G45" s="181"/>
      <c r="H45"/>
      <c r="I45"/>
      <c r="J45"/>
      <c r="K45" s="127"/>
      <c r="L45" s="3"/>
      <c r="M45" s="3"/>
    </row>
    <row r="46" spans="1:13">
      <c r="A46" s="3"/>
      <c r="B46" s="186"/>
      <c r="C46"/>
      <c r="D46" s="181"/>
      <c r="E46"/>
      <c r="F46" s="181"/>
      <c r="G46" s="181"/>
      <c r="H46"/>
      <c r="I46"/>
      <c r="J46"/>
      <c r="K46" s="127"/>
      <c r="L46" s="3"/>
      <c r="M46" s="3"/>
    </row>
    <row r="47" spans="1:13">
      <c r="A47" s="3"/>
      <c r="B47" s="186"/>
      <c r="C47"/>
      <c r="D47" s="181"/>
      <c r="E47"/>
      <c r="F47" s="181"/>
      <c r="G47" s="181"/>
      <c r="H47"/>
      <c r="I47"/>
      <c r="J47"/>
      <c r="K47" s="127"/>
      <c r="L47" s="3"/>
      <c r="M47" s="3"/>
    </row>
    <row r="48" spans="1:13">
      <c r="A48" s="3"/>
      <c r="B48" s="186"/>
      <c r="C48"/>
      <c r="D48" s="181"/>
      <c r="E48"/>
      <c r="F48" s="181"/>
      <c r="G48" s="181"/>
      <c r="H48"/>
      <c r="I48"/>
      <c r="J48"/>
      <c r="K48" s="127"/>
      <c r="L48" s="3"/>
      <c r="M48" s="3"/>
    </row>
  </sheetData>
  <sheetProtection password="C23C" sheet="1" objects="1" scenarios="1" selectLockedCells="1" selectUnlockedCells="1"/>
  <mergeCells count="18">
    <mergeCell ref="M7:M8"/>
    <mergeCell ref="G9:G10"/>
    <mergeCell ref="K9:K10"/>
    <mergeCell ref="M9:M10"/>
    <mergeCell ref="B9:B10"/>
    <mergeCell ref="C9:C10"/>
    <mergeCell ref="D9:D10"/>
    <mergeCell ref="E9:E10"/>
    <mergeCell ref="F9:F10"/>
    <mergeCell ref="C4:K4"/>
    <mergeCell ref="B7:B8"/>
    <mergeCell ref="C7:C8"/>
    <mergeCell ref="D7:D8"/>
    <mergeCell ref="E7:E8"/>
    <mergeCell ref="F7:F8"/>
    <mergeCell ref="C5:K5"/>
    <mergeCell ref="G7:G8"/>
    <mergeCell ref="K7:K8"/>
  </mergeCells>
  <phoneticPr fontId="18" type="noConversion"/>
  <pageMargins left="0.75000000000000011" right="0.75000000000000011" top="1" bottom="1" header="0.5" footer="0.5"/>
  <pageSetup scale="56" orientation="portrait" horizontalDpi="4294967292" verticalDpi="4294967292"/>
  <extLst>
    <ext xmlns:mx="http://schemas.microsoft.com/office/mac/excel/2008/main" uri="{64002731-A6B0-56B0-2670-7721B7C09600}">
      <mx:PLV Mode="0" OnePage="0" WScale="10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AB47"/>
  <sheetViews>
    <sheetView topLeftCell="B1" workbookViewId="0">
      <selection activeCell="E38" sqref="E38"/>
    </sheetView>
  </sheetViews>
  <sheetFormatPr baseColWidth="10" defaultRowHeight="15" x14ac:dyDescent="0"/>
  <cols>
    <col min="1" max="1" width="1.33203125" style="1" hidden="1" customWidth="1"/>
    <col min="2" max="2" width="4.33203125" style="184" customWidth="1"/>
    <col min="3" max="3" width="15.83203125" style="333" customWidth="1"/>
    <col min="4" max="4" width="20.83203125" style="15" customWidth="1"/>
    <col min="5" max="5" width="40.83203125" style="3" customWidth="1"/>
    <col min="6" max="7" width="10.83203125" style="144" customWidth="1"/>
    <col min="8" max="8" width="8.1640625" style="6" hidden="1" customWidth="1"/>
    <col min="9" max="9" width="14.5" style="4" hidden="1" customWidth="1"/>
    <col min="10" max="10" width="9.83203125" style="7" hidden="1" customWidth="1"/>
    <col min="11" max="11" width="15.83203125" style="117" customWidth="1"/>
    <col min="12" max="12" width="15.33203125" style="4" hidden="1" customWidth="1"/>
    <col min="13" max="13" width="15.83203125" style="7" customWidth="1"/>
    <col min="14" max="16384" width="10.83203125" style="3"/>
  </cols>
  <sheetData>
    <row r="1" spans="1:28" ht="18">
      <c r="A1" s="3"/>
      <c r="B1" s="182"/>
      <c r="C1" s="331"/>
      <c r="D1" s="75"/>
      <c r="E1" s="78" t="s">
        <v>0</v>
      </c>
      <c r="F1" s="234"/>
      <c r="G1" s="235"/>
      <c r="H1" s="79"/>
      <c r="I1" s="80"/>
      <c r="J1" s="81"/>
      <c r="K1" s="116"/>
      <c r="L1" s="80"/>
      <c r="M1" s="82"/>
      <c r="O1"/>
      <c r="AB1"/>
    </row>
    <row r="2" spans="1:28" ht="18">
      <c r="A2" s="3"/>
      <c r="B2" s="182"/>
      <c r="C2" s="331"/>
      <c r="D2" s="75"/>
      <c r="E2" s="78" t="s">
        <v>256</v>
      </c>
      <c r="F2" s="234"/>
      <c r="G2" s="235"/>
      <c r="H2" s="79"/>
      <c r="I2" s="80"/>
      <c r="J2" s="81"/>
      <c r="K2" s="116"/>
      <c r="L2" s="80"/>
      <c r="M2" s="82"/>
      <c r="O2"/>
      <c r="AB2"/>
    </row>
    <row r="3" spans="1:28">
      <c r="A3" s="3"/>
      <c r="B3" s="183"/>
      <c r="C3" s="332"/>
      <c r="D3" s="83"/>
      <c r="E3" s="85"/>
      <c r="F3" s="236"/>
      <c r="G3" s="236"/>
      <c r="H3" s="86"/>
      <c r="I3" s="9"/>
      <c r="J3" s="9"/>
      <c r="K3" s="115"/>
      <c r="L3" s="9"/>
      <c r="M3" s="9"/>
      <c r="O3"/>
      <c r="AB3"/>
    </row>
    <row r="4" spans="1:28" ht="23">
      <c r="A4" s="3"/>
      <c r="B4" s="183"/>
      <c r="C4" s="344" t="s">
        <v>251</v>
      </c>
      <c r="D4" s="344"/>
      <c r="E4" s="344"/>
      <c r="F4" s="344"/>
      <c r="G4" s="344"/>
      <c r="H4" s="344"/>
      <c r="I4" s="344"/>
      <c r="J4" s="344"/>
      <c r="K4" s="344"/>
      <c r="L4" s="9"/>
      <c r="M4" s="9"/>
      <c r="N4" s="77"/>
      <c r="O4" s="218"/>
      <c r="P4"/>
      <c r="Q4"/>
      <c r="R4"/>
      <c r="S4"/>
      <c r="T4"/>
      <c r="U4"/>
      <c r="V4"/>
      <c r="W4"/>
      <c r="X4"/>
      <c r="Y4"/>
      <c r="Z4"/>
      <c r="AA4"/>
      <c r="AB4"/>
    </row>
    <row r="5" spans="1:28" ht="24" thickBot="1">
      <c r="A5" s="3"/>
      <c r="B5" s="69"/>
      <c r="C5" s="344" t="s">
        <v>359</v>
      </c>
      <c r="D5" s="344"/>
      <c r="E5" s="344"/>
      <c r="F5" s="344"/>
      <c r="G5" s="344"/>
      <c r="H5" s="344"/>
      <c r="I5" s="344"/>
      <c r="J5" s="344"/>
      <c r="K5" s="344"/>
      <c r="L5" s="97"/>
      <c r="M5" s="98"/>
      <c r="O5"/>
      <c r="P5"/>
      <c r="Q5"/>
      <c r="R5"/>
      <c r="S5"/>
      <c r="T5"/>
      <c r="U5"/>
      <c r="V5"/>
      <c r="W5"/>
      <c r="X5"/>
      <c r="Y5"/>
      <c r="Z5"/>
      <c r="AA5"/>
      <c r="AB5"/>
    </row>
    <row r="6" spans="1:28" ht="46" thickBot="1">
      <c r="A6" s="3"/>
      <c r="B6" s="211" t="s">
        <v>1</v>
      </c>
      <c r="C6" s="321" t="s">
        <v>2</v>
      </c>
      <c r="D6" s="212" t="s">
        <v>3</v>
      </c>
      <c r="E6" s="212" t="s">
        <v>4</v>
      </c>
      <c r="F6" s="213" t="s">
        <v>5</v>
      </c>
      <c r="G6" s="213" t="s">
        <v>6</v>
      </c>
      <c r="H6" s="214" t="s">
        <v>7</v>
      </c>
      <c r="I6" s="215" t="s">
        <v>8</v>
      </c>
      <c r="J6" s="215" t="s">
        <v>9</v>
      </c>
      <c r="K6" s="216" t="s">
        <v>250</v>
      </c>
      <c r="L6" s="215" t="s">
        <v>10</v>
      </c>
      <c r="M6" s="217" t="s">
        <v>11</v>
      </c>
      <c r="O6"/>
      <c r="P6"/>
      <c r="Q6"/>
      <c r="R6"/>
      <c r="S6"/>
      <c r="T6"/>
      <c r="U6"/>
      <c r="V6"/>
      <c r="W6"/>
      <c r="X6"/>
      <c r="Y6"/>
      <c r="Z6"/>
      <c r="AA6"/>
      <c r="AB6"/>
    </row>
    <row r="7" spans="1:28">
      <c r="A7" s="3"/>
      <c r="B7" s="204">
        <v>1</v>
      </c>
      <c r="C7" s="152" t="s">
        <v>307</v>
      </c>
      <c r="D7" s="152" t="s">
        <v>258</v>
      </c>
      <c r="E7" s="205" t="s">
        <v>257</v>
      </c>
      <c r="F7" s="206">
        <v>34799</v>
      </c>
      <c r="G7" s="206">
        <v>34834</v>
      </c>
      <c r="H7" s="207"/>
      <c r="I7" s="208"/>
      <c r="J7" s="209"/>
      <c r="K7" s="150">
        <v>15151515</v>
      </c>
      <c r="L7" s="208"/>
      <c r="M7" s="210">
        <f>K7/118934</f>
        <v>127.39431113054299</v>
      </c>
      <c r="O7"/>
      <c r="P7"/>
      <c r="Q7"/>
      <c r="R7"/>
      <c r="S7"/>
      <c r="T7"/>
      <c r="U7"/>
      <c r="V7"/>
      <c r="W7"/>
      <c r="X7"/>
      <c r="Y7"/>
      <c r="Z7"/>
      <c r="AA7"/>
      <c r="AB7"/>
    </row>
    <row r="8" spans="1:28" ht="9" customHeight="1">
      <c r="A8" s="3"/>
      <c r="B8" s="337">
        <v>2</v>
      </c>
      <c r="C8" s="336" t="s">
        <v>306</v>
      </c>
      <c r="D8" s="336" t="s">
        <v>310</v>
      </c>
      <c r="E8" s="338" t="s">
        <v>262</v>
      </c>
      <c r="F8" s="339">
        <v>35158</v>
      </c>
      <c r="G8" s="339">
        <v>35225</v>
      </c>
      <c r="H8" s="99"/>
      <c r="I8" s="67"/>
      <c r="J8" s="66"/>
      <c r="K8" s="357">
        <v>27567890</v>
      </c>
      <c r="L8" s="67"/>
      <c r="M8" s="354">
        <f>K8/142125</f>
        <v>193.96932277924361</v>
      </c>
      <c r="O8"/>
      <c r="P8"/>
      <c r="Q8"/>
      <c r="R8"/>
      <c r="S8"/>
      <c r="T8"/>
      <c r="U8"/>
      <c r="V8"/>
      <c r="W8"/>
      <c r="X8"/>
      <c r="Y8"/>
      <c r="Z8"/>
      <c r="AA8"/>
      <c r="AB8"/>
    </row>
    <row r="9" spans="1:28">
      <c r="A9" s="3"/>
      <c r="B9" s="337"/>
      <c r="C9" s="336"/>
      <c r="D9" s="336"/>
      <c r="E9" s="338"/>
      <c r="F9" s="339"/>
      <c r="G9" s="339"/>
      <c r="H9" s="99"/>
      <c r="I9" s="67"/>
      <c r="J9" s="66"/>
      <c r="K9" s="357"/>
      <c r="L9" s="67"/>
      <c r="M9" s="340"/>
      <c r="O9"/>
      <c r="P9"/>
      <c r="Q9"/>
      <c r="R9"/>
      <c r="S9"/>
      <c r="T9"/>
      <c r="U9"/>
      <c r="V9"/>
      <c r="W9"/>
      <c r="X9"/>
      <c r="Y9"/>
      <c r="Z9"/>
      <c r="AA9"/>
      <c r="AB9"/>
    </row>
    <row r="10" spans="1:28" ht="36">
      <c r="A10" s="3"/>
      <c r="B10" s="188">
        <v>3</v>
      </c>
      <c r="C10" s="94" t="s">
        <v>342</v>
      </c>
      <c r="D10" s="94" t="s">
        <v>309</v>
      </c>
      <c r="E10" s="37" t="s">
        <v>343</v>
      </c>
      <c r="F10" s="112">
        <v>35582</v>
      </c>
      <c r="G10" s="112">
        <v>35675</v>
      </c>
      <c r="H10" s="99"/>
      <c r="I10" s="67"/>
      <c r="J10" s="66"/>
      <c r="K10" s="118">
        <v>19952474</v>
      </c>
      <c r="L10" s="67"/>
      <c r="M10" s="189">
        <f>K10/172005</f>
        <v>115.9993837388448</v>
      </c>
      <c r="O10"/>
      <c r="P10"/>
      <c r="Q10"/>
      <c r="R10"/>
      <c r="S10"/>
      <c r="T10"/>
      <c r="U10"/>
      <c r="V10"/>
      <c r="W10"/>
      <c r="X10"/>
      <c r="Y10"/>
      <c r="Z10"/>
      <c r="AA10"/>
      <c r="AB10"/>
    </row>
    <row r="11" spans="1:28" ht="24">
      <c r="A11" s="3"/>
      <c r="B11" s="188">
        <v>4</v>
      </c>
      <c r="C11" s="94" t="s">
        <v>308</v>
      </c>
      <c r="D11" s="94" t="s">
        <v>266</v>
      </c>
      <c r="E11" s="37" t="s">
        <v>265</v>
      </c>
      <c r="F11" s="128">
        <v>35612</v>
      </c>
      <c r="G11" s="94" t="s">
        <v>267</v>
      </c>
      <c r="H11" s="99"/>
      <c r="I11" s="67"/>
      <c r="J11" s="66"/>
      <c r="K11" s="51">
        <v>22456780</v>
      </c>
      <c r="L11" s="67"/>
      <c r="M11" s="189">
        <f>K11/172005</f>
        <v>130.55887910235168</v>
      </c>
      <c r="O11"/>
      <c r="P11"/>
      <c r="Q11"/>
      <c r="R11"/>
      <c r="S11"/>
      <c r="T11"/>
      <c r="U11"/>
      <c r="V11"/>
      <c r="W11"/>
      <c r="X11"/>
      <c r="Y11"/>
      <c r="Z11"/>
      <c r="AA11"/>
      <c r="AB11"/>
    </row>
    <row r="12" spans="1:28">
      <c r="A12" s="3"/>
      <c r="B12" s="190">
        <v>5</v>
      </c>
      <c r="C12" s="53" t="s">
        <v>304</v>
      </c>
      <c r="D12" s="53" t="s">
        <v>268</v>
      </c>
      <c r="E12" s="38" t="s">
        <v>305</v>
      </c>
      <c r="F12" s="131">
        <v>35991</v>
      </c>
      <c r="G12" s="131">
        <v>36098</v>
      </c>
      <c r="H12" s="99"/>
      <c r="I12" s="67"/>
      <c r="J12" s="66"/>
      <c r="K12" s="118">
        <v>15883320</v>
      </c>
      <c r="L12" s="67"/>
      <c r="M12" s="189">
        <f>K12/203826</f>
        <v>77.92587795472609</v>
      </c>
      <c r="O12"/>
      <c r="P12"/>
      <c r="Q12"/>
      <c r="R12"/>
      <c r="S12"/>
      <c r="T12"/>
      <c r="U12"/>
      <c r="V12"/>
      <c r="W12"/>
      <c r="X12"/>
      <c r="Y12"/>
      <c r="Z12"/>
      <c r="AA12"/>
      <c r="AB12"/>
    </row>
    <row r="13" spans="1:28" ht="24">
      <c r="A13" s="3"/>
      <c r="B13" s="188">
        <v>6</v>
      </c>
      <c r="C13" s="322" t="s">
        <v>311</v>
      </c>
      <c r="D13" s="53" t="s">
        <v>268</v>
      </c>
      <c r="E13" s="140" t="s">
        <v>303</v>
      </c>
      <c r="F13" s="129">
        <v>36206</v>
      </c>
      <c r="G13" s="129">
        <v>36266</v>
      </c>
      <c r="H13" s="99"/>
      <c r="I13" s="67"/>
      <c r="J13" s="66"/>
      <c r="K13" s="118">
        <v>11500000</v>
      </c>
      <c r="L13" s="67"/>
      <c r="M13" s="189">
        <f>K13/236460</f>
        <v>48.634018438636559</v>
      </c>
      <c r="O13"/>
      <c r="P13"/>
      <c r="Q13"/>
      <c r="R13"/>
      <c r="S13"/>
      <c r="T13"/>
      <c r="U13"/>
      <c r="V13"/>
      <c r="W13"/>
      <c r="X13"/>
      <c r="Y13"/>
      <c r="Z13"/>
      <c r="AA13"/>
      <c r="AB13"/>
    </row>
    <row r="14" spans="1:28" ht="48">
      <c r="A14" s="3"/>
      <c r="B14" s="191">
        <v>7</v>
      </c>
      <c r="C14" s="28" t="s">
        <v>285</v>
      </c>
      <c r="D14" s="28" t="s">
        <v>281</v>
      </c>
      <c r="E14" s="37" t="s">
        <v>444</v>
      </c>
      <c r="F14" s="128">
        <v>36295</v>
      </c>
      <c r="G14" s="128">
        <v>36399</v>
      </c>
      <c r="H14" s="99"/>
      <c r="I14" s="67"/>
      <c r="J14" s="66"/>
      <c r="K14" s="155">
        <v>57333200</v>
      </c>
      <c r="L14" s="67"/>
      <c r="M14" s="189">
        <f>K14/236460</f>
        <v>242.46468747356846</v>
      </c>
      <c r="O14"/>
      <c r="P14"/>
      <c r="Q14"/>
      <c r="R14"/>
      <c r="S14"/>
      <c r="T14"/>
      <c r="U14"/>
      <c r="V14"/>
      <c r="W14"/>
      <c r="X14"/>
      <c r="Y14"/>
      <c r="Z14"/>
      <c r="AA14"/>
      <c r="AB14"/>
    </row>
    <row r="15" spans="1:28">
      <c r="A15" s="3"/>
      <c r="B15" s="351">
        <v>8</v>
      </c>
      <c r="C15" s="336" t="s">
        <v>286</v>
      </c>
      <c r="D15" s="336" t="s">
        <v>281</v>
      </c>
      <c r="E15" s="338" t="s">
        <v>269</v>
      </c>
      <c r="F15" s="339">
        <v>36495</v>
      </c>
      <c r="G15" s="339">
        <v>36707</v>
      </c>
      <c r="H15" s="99"/>
      <c r="I15" s="67"/>
      <c r="J15" s="66"/>
      <c r="K15" s="357">
        <v>39750000</v>
      </c>
      <c r="L15" s="67"/>
      <c r="M15" s="354">
        <v>2261.4113676731795</v>
      </c>
      <c r="O15"/>
      <c r="P15"/>
      <c r="Q15"/>
      <c r="R15"/>
      <c r="S15"/>
      <c r="T15"/>
      <c r="U15"/>
      <c r="V15"/>
      <c r="W15"/>
      <c r="X15"/>
      <c r="Y15"/>
      <c r="Z15"/>
      <c r="AA15"/>
      <c r="AB15"/>
    </row>
    <row r="16" spans="1:28">
      <c r="A16" s="3"/>
      <c r="B16" s="347"/>
      <c r="C16" s="336"/>
      <c r="D16" s="336"/>
      <c r="E16" s="338"/>
      <c r="F16" s="339"/>
      <c r="G16" s="339"/>
      <c r="H16" s="99"/>
      <c r="I16" s="67"/>
      <c r="J16" s="66"/>
      <c r="K16" s="357"/>
      <c r="L16" s="67"/>
      <c r="M16" s="340"/>
      <c r="O16"/>
      <c r="P16"/>
      <c r="Q16"/>
      <c r="R16"/>
      <c r="S16"/>
      <c r="T16"/>
      <c r="U16"/>
      <c r="V16"/>
      <c r="W16"/>
      <c r="X16"/>
      <c r="Y16"/>
      <c r="Z16"/>
      <c r="AA16"/>
      <c r="AB16"/>
    </row>
    <row r="17" spans="1:28" ht="48">
      <c r="A17" s="3"/>
      <c r="B17" s="188">
        <v>9</v>
      </c>
      <c r="C17" s="323" t="s">
        <v>346</v>
      </c>
      <c r="D17" s="94" t="s">
        <v>344</v>
      </c>
      <c r="E17" s="37" t="s">
        <v>345</v>
      </c>
      <c r="F17" s="128">
        <v>36697</v>
      </c>
      <c r="G17" s="128">
        <v>36743</v>
      </c>
      <c r="H17" s="99"/>
      <c r="I17" s="67"/>
      <c r="J17" s="66"/>
      <c r="K17" s="118">
        <v>74850000</v>
      </c>
      <c r="L17" s="67"/>
      <c r="M17" s="189">
        <f>K17/260100</f>
        <v>287.77393310265285</v>
      </c>
      <c r="O17"/>
      <c r="P17"/>
      <c r="Q17"/>
      <c r="R17"/>
      <c r="S17"/>
      <c r="T17"/>
      <c r="U17"/>
      <c r="V17"/>
      <c r="W17"/>
      <c r="X17"/>
      <c r="Y17"/>
      <c r="Z17"/>
      <c r="AA17"/>
      <c r="AB17"/>
    </row>
    <row r="18" spans="1:28">
      <c r="A18" s="3"/>
      <c r="B18" s="351">
        <v>10</v>
      </c>
      <c r="C18" s="358" t="s">
        <v>287</v>
      </c>
      <c r="D18" s="336" t="s">
        <v>281</v>
      </c>
      <c r="E18" s="338" t="s">
        <v>270</v>
      </c>
      <c r="F18" s="339">
        <v>37098</v>
      </c>
      <c r="G18" s="339">
        <v>37133</v>
      </c>
      <c r="H18" s="99"/>
      <c r="I18" s="67"/>
      <c r="J18" s="66"/>
      <c r="K18" s="357">
        <v>29990000</v>
      </c>
      <c r="L18" s="67"/>
      <c r="M18" s="354">
        <f>K18/286000</f>
        <v>104.86013986013987</v>
      </c>
      <c r="O18"/>
      <c r="P18"/>
      <c r="Q18"/>
      <c r="R18"/>
      <c r="S18"/>
      <c r="T18"/>
      <c r="U18"/>
      <c r="V18"/>
      <c r="W18"/>
      <c r="X18"/>
      <c r="Y18"/>
      <c r="Z18"/>
      <c r="AA18"/>
      <c r="AB18"/>
    </row>
    <row r="19" spans="1:28">
      <c r="A19" s="3"/>
      <c r="B19" s="347"/>
      <c r="C19" s="348"/>
      <c r="D19" s="336"/>
      <c r="E19" s="338"/>
      <c r="F19" s="339"/>
      <c r="G19" s="339"/>
      <c r="H19" s="99"/>
      <c r="I19" s="67"/>
      <c r="J19" s="66"/>
      <c r="K19" s="357"/>
      <c r="L19" s="67"/>
      <c r="M19" s="340"/>
      <c r="O19"/>
      <c r="P19"/>
      <c r="Q19"/>
      <c r="R19"/>
      <c r="S19"/>
      <c r="T19"/>
      <c r="U19"/>
      <c r="V19"/>
      <c r="W19"/>
      <c r="X19"/>
      <c r="Y19"/>
      <c r="Z19"/>
      <c r="AA19"/>
      <c r="AB19"/>
    </row>
    <row r="20" spans="1:28" ht="36">
      <c r="A20" s="3"/>
      <c r="B20" s="191">
        <v>11</v>
      </c>
      <c r="C20" s="324" t="s">
        <v>79</v>
      </c>
      <c r="D20" s="53" t="s">
        <v>247</v>
      </c>
      <c r="E20" s="38" t="s">
        <v>442</v>
      </c>
      <c r="F20" s="131">
        <v>37796</v>
      </c>
      <c r="G20" s="131">
        <v>37863</v>
      </c>
      <c r="H20" s="39">
        <f t="shared" ref="H20" si="0">G20-F20</f>
        <v>67</v>
      </c>
      <c r="I20" s="40">
        <v>2215983301</v>
      </c>
      <c r="J20" s="41">
        <v>1</v>
      </c>
      <c r="K20" s="119">
        <f>2215983301*0.1</f>
        <v>221598330.10000002</v>
      </c>
      <c r="L20" s="42">
        <f>+K20/2778.21</f>
        <v>79762.987715111536</v>
      </c>
      <c r="M20" s="189">
        <f>K20/332000</f>
        <v>667.46484969879521</v>
      </c>
      <c r="O20"/>
      <c r="P20"/>
      <c r="Q20"/>
      <c r="R20"/>
      <c r="S20"/>
      <c r="T20"/>
      <c r="U20"/>
      <c r="V20"/>
      <c r="W20"/>
      <c r="X20"/>
      <c r="Y20"/>
      <c r="Z20"/>
      <c r="AA20"/>
      <c r="AB20"/>
    </row>
    <row r="21" spans="1:28" ht="24">
      <c r="A21" s="3"/>
      <c r="B21" s="191">
        <v>12</v>
      </c>
      <c r="C21" s="324" t="s">
        <v>357</v>
      </c>
      <c r="D21" s="53" t="s">
        <v>355</v>
      </c>
      <c r="E21" s="38" t="s">
        <v>356</v>
      </c>
      <c r="F21" s="131">
        <v>38620</v>
      </c>
      <c r="G21" s="131">
        <v>38711</v>
      </c>
      <c r="H21" s="39"/>
      <c r="I21" s="40"/>
      <c r="J21" s="41"/>
      <c r="K21" s="119">
        <v>23327602</v>
      </c>
      <c r="L21" s="42"/>
      <c r="M21" s="189">
        <f>K21/381500</f>
        <v>61.147056356487546</v>
      </c>
      <c r="O21"/>
      <c r="P21"/>
      <c r="Q21"/>
      <c r="R21"/>
      <c r="S21"/>
      <c r="T21"/>
      <c r="U21"/>
      <c r="V21"/>
      <c r="W21"/>
      <c r="X21"/>
      <c r="Y21"/>
      <c r="Z21"/>
      <c r="AA21"/>
      <c r="AB21"/>
    </row>
    <row r="22" spans="1:28" ht="72">
      <c r="A22" s="3"/>
      <c r="B22" s="191">
        <v>13</v>
      </c>
      <c r="C22" s="94" t="s">
        <v>288</v>
      </c>
      <c r="D22" s="94" t="s">
        <v>273</v>
      </c>
      <c r="E22" s="139" t="s">
        <v>272</v>
      </c>
      <c r="F22" s="128">
        <v>38712</v>
      </c>
      <c r="G22" s="128">
        <v>38747</v>
      </c>
      <c r="H22" s="99"/>
      <c r="I22" s="67"/>
      <c r="J22" s="66"/>
      <c r="K22" s="118">
        <v>664500000</v>
      </c>
      <c r="L22" s="67"/>
      <c r="M22" s="189">
        <f>K22/381500</f>
        <v>1741.8086500655309</v>
      </c>
      <c r="O22"/>
      <c r="P22"/>
      <c r="Q22"/>
      <c r="R22"/>
      <c r="S22"/>
      <c r="T22"/>
      <c r="U22"/>
      <c r="V22"/>
      <c r="W22"/>
      <c r="X22"/>
      <c r="Y22"/>
      <c r="Z22"/>
      <c r="AA22"/>
      <c r="AB22"/>
    </row>
    <row r="23" spans="1:28" ht="36">
      <c r="A23" s="3"/>
      <c r="B23" s="191">
        <v>14</v>
      </c>
      <c r="C23" s="94" t="s">
        <v>301</v>
      </c>
      <c r="D23" s="94" t="s">
        <v>273</v>
      </c>
      <c r="E23" s="139" t="s">
        <v>302</v>
      </c>
      <c r="F23" s="128">
        <v>38712</v>
      </c>
      <c r="G23" s="128">
        <v>38806</v>
      </c>
      <c r="H23" s="99"/>
      <c r="I23" s="67"/>
      <c r="J23" s="66"/>
      <c r="K23" s="118">
        <v>394500000</v>
      </c>
      <c r="L23" s="67"/>
      <c r="M23" s="189">
        <f>K23/381500</f>
        <v>1034.0760157273919</v>
      </c>
      <c r="O23"/>
      <c r="P23"/>
      <c r="Q23"/>
      <c r="R23"/>
      <c r="S23"/>
      <c r="T23"/>
      <c r="U23"/>
      <c r="V23"/>
      <c r="W23"/>
      <c r="X23"/>
      <c r="Y23"/>
      <c r="Z23"/>
      <c r="AA23"/>
      <c r="AB23"/>
    </row>
    <row r="24" spans="1:28" ht="24">
      <c r="A24" s="3"/>
      <c r="B24" s="191">
        <v>15</v>
      </c>
      <c r="C24" s="53" t="s">
        <v>315</v>
      </c>
      <c r="D24" s="53" t="s">
        <v>88</v>
      </c>
      <c r="E24" s="38" t="s">
        <v>324</v>
      </c>
      <c r="F24" s="131">
        <v>38952</v>
      </c>
      <c r="G24" s="131">
        <v>39100</v>
      </c>
      <c r="H24" s="142">
        <v>321568947</v>
      </c>
      <c r="I24" s="141">
        <v>788.16</v>
      </c>
      <c r="J24" s="66"/>
      <c r="K24" s="118">
        <v>32156000</v>
      </c>
      <c r="L24" s="67"/>
      <c r="M24" s="189">
        <f>K24/408000</f>
        <v>78.813725490196077</v>
      </c>
      <c r="O24"/>
      <c r="P24"/>
      <c r="Q24"/>
      <c r="R24"/>
      <c r="S24"/>
      <c r="T24"/>
      <c r="U24"/>
      <c r="V24"/>
      <c r="W24"/>
      <c r="X24"/>
      <c r="Y24"/>
      <c r="Z24"/>
      <c r="AA24"/>
      <c r="AB24"/>
    </row>
    <row r="25" spans="1:28" ht="24">
      <c r="A25" s="3"/>
      <c r="B25" s="191">
        <v>16</v>
      </c>
      <c r="C25" s="53" t="s">
        <v>314</v>
      </c>
      <c r="D25" s="53" t="s">
        <v>88</v>
      </c>
      <c r="E25" s="38" t="s">
        <v>325</v>
      </c>
      <c r="F25" s="131">
        <v>38952</v>
      </c>
      <c r="G25" s="131">
        <v>39136</v>
      </c>
      <c r="H25" s="142">
        <v>252314000</v>
      </c>
      <c r="I25" s="141">
        <v>618.41999999999996</v>
      </c>
      <c r="J25" s="66"/>
      <c r="K25" s="118">
        <v>28211000</v>
      </c>
      <c r="L25" s="67"/>
      <c r="M25" s="189">
        <f>K25/408000</f>
        <v>69.144607843137251</v>
      </c>
      <c r="O25"/>
      <c r="P25"/>
      <c r="Q25"/>
      <c r="R25"/>
      <c r="S25"/>
      <c r="T25"/>
      <c r="U25"/>
      <c r="V25"/>
      <c r="W25"/>
      <c r="X25"/>
      <c r="Y25"/>
      <c r="Z25"/>
      <c r="AA25"/>
      <c r="AB25"/>
    </row>
    <row r="26" spans="1:28" ht="60">
      <c r="A26" s="3"/>
      <c r="B26" s="191">
        <v>17</v>
      </c>
      <c r="C26" s="53" t="s">
        <v>223</v>
      </c>
      <c r="D26" s="53" t="s">
        <v>224</v>
      </c>
      <c r="E26" s="37" t="s">
        <v>274</v>
      </c>
      <c r="F26" s="128">
        <v>39089</v>
      </c>
      <c r="G26" s="128">
        <v>39301</v>
      </c>
      <c r="H26" s="99"/>
      <c r="I26" s="52">
        <v>433700</v>
      </c>
      <c r="J26" s="66"/>
      <c r="K26" s="119">
        <v>555200000</v>
      </c>
      <c r="L26" s="67"/>
      <c r="M26" s="192">
        <f>+K26/433700</f>
        <v>1280.147567442933</v>
      </c>
      <c r="O26"/>
      <c r="P26"/>
      <c r="Q26"/>
      <c r="R26"/>
      <c r="S26"/>
      <c r="T26"/>
      <c r="U26"/>
      <c r="V26"/>
      <c r="W26"/>
      <c r="X26"/>
      <c r="Y26"/>
      <c r="Z26"/>
      <c r="AA26"/>
      <c r="AB26"/>
    </row>
    <row r="27" spans="1:28" ht="96">
      <c r="A27" s="3"/>
      <c r="B27" s="191">
        <v>18</v>
      </c>
      <c r="C27" s="53" t="s">
        <v>300</v>
      </c>
      <c r="D27" s="53" t="s">
        <v>297</v>
      </c>
      <c r="E27" s="37" t="s">
        <v>298</v>
      </c>
      <c r="F27" s="131">
        <v>39416</v>
      </c>
      <c r="G27" s="131">
        <v>39659</v>
      </c>
      <c r="H27" s="99"/>
      <c r="I27" s="52">
        <v>433700</v>
      </c>
      <c r="J27" s="66"/>
      <c r="K27" s="119">
        <v>775520000</v>
      </c>
      <c r="L27" s="67"/>
      <c r="M27" s="192">
        <f>+K27/433700</f>
        <v>1788.1484897394512</v>
      </c>
      <c r="O27"/>
      <c r="P27"/>
      <c r="Q27"/>
      <c r="R27"/>
      <c r="S27"/>
      <c r="T27"/>
      <c r="U27"/>
      <c r="V27"/>
      <c r="W27"/>
      <c r="X27"/>
      <c r="Y27"/>
      <c r="Z27"/>
      <c r="AA27"/>
      <c r="AB27"/>
    </row>
    <row r="28" spans="1:28" ht="24">
      <c r="A28" s="3"/>
      <c r="B28" s="191">
        <v>19</v>
      </c>
      <c r="C28" s="17" t="s">
        <v>185</v>
      </c>
      <c r="D28" s="17" t="s">
        <v>184</v>
      </c>
      <c r="E28" s="18" t="s">
        <v>186</v>
      </c>
      <c r="F28" s="132">
        <v>39536</v>
      </c>
      <c r="G28" s="132">
        <v>39720</v>
      </c>
      <c r="H28" s="19">
        <f>+G28-F28</f>
        <v>184</v>
      </c>
      <c r="I28" s="20">
        <v>290000000</v>
      </c>
      <c r="J28" s="21">
        <v>1</v>
      </c>
      <c r="K28" s="120">
        <f>+I28*J28</f>
        <v>290000000</v>
      </c>
      <c r="L28" s="20">
        <f>+K28/2000</f>
        <v>145000</v>
      </c>
      <c r="M28" s="193">
        <f>+K28/461500</f>
        <v>628.385698808234</v>
      </c>
      <c r="O28"/>
      <c r="P28"/>
      <c r="Q28"/>
      <c r="R28"/>
      <c r="S28"/>
      <c r="T28"/>
      <c r="U28"/>
      <c r="V28"/>
      <c r="W28"/>
      <c r="X28"/>
      <c r="Y28"/>
      <c r="Z28"/>
      <c r="AA28"/>
      <c r="AB28"/>
    </row>
    <row r="29" spans="1:28" ht="24">
      <c r="A29" s="3"/>
      <c r="B29" s="191">
        <v>20</v>
      </c>
      <c r="C29" s="53" t="s">
        <v>87</v>
      </c>
      <c r="D29" s="53" t="s">
        <v>88</v>
      </c>
      <c r="E29" s="38" t="s">
        <v>313</v>
      </c>
      <c r="F29" s="131">
        <v>39674</v>
      </c>
      <c r="G29" s="131">
        <v>39858</v>
      </c>
      <c r="H29" s="142">
        <v>2537697531</v>
      </c>
      <c r="I29" s="141">
        <v>4927.57</v>
      </c>
      <c r="J29" s="41"/>
      <c r="K29" s="119">
        <v>625430000</v>
      </c>
      <c r="L29" s="67"/>
      <c r="M29" s="192">
        <f>+K29/461500</f>
        <v>1355.2112676056338</v>
      </c>
      <c r="O29"/>
      <c r="P29"/>
      <c r="Q29"/>
      <c r="R29"/>
      <c r="S29"/>
      <c r="T29"/>
      <c r="U29"/>
      <c r="V29"/>
      <c r="W29"/>
      <c r="X29"/>
      <c r="Y29"/>
      <c r="Z29"/>
      <c r="AA29"/>
      <c r="AB29"/>
    </row>
    <row r="30" spans="1:28" ht="24">
      <c r="A30" s="3"/>
      <c r="B30" s="191">
        <v>21</v>
      </c>
      <c r="C30" s="324" t="s">
        <v>283</v>
      </c>
      <c r="D30" s="94" t="s">
        <v>281</v>
      </c>
      <c r="E30" s="38" t="s">
        <v>282</v>
      </c>
      <c r="F30" s="131">
        <v>39925</v>
      </c>
      <c r="G30" s="131">
        <v>39986</v>
      </c>
      <c r="H30" s="39">
        <f>G30-F30</f>
        <v>61</v>
      </c>
      <c r="I30" s="40">
        <v>1280345983</v>
      </c>
      <c r="J30" s="41">
        <v>1</v>
      </c>
      <c r="K30" s="119">
        <v>128000000</v>
      </c>
      <c r="L30" s="67"/>
      <c r="M30" s="192">
        <f>+K30/496900</f>
        <v>257.59710203260215</v>
      </c>
      <c r="O30"/>
      <c r="P30"/>
      <c r="Q30"/>
      <c r="R30"/>
      <c r="S30"/>
      <c r="T30"/>
      <c r="U30"/>
      <c r="V30"/>
      <c r="W30"/>
      <c r="X30"/>
      <c r="Y30"/>
      <c r="Z30"/>
      <c r="AA30"/>
      <c r="AB30"/>
    </row>
    <row r="31" spans="1:28" ht="36">
      <c r="B31" s="191">
        <v>22</v>
      </c>
      <c r="C31" s="53" t="s">
        <v>232</v>
      </c>
      <c r="D31" s="53" t="s">
        <v>280</v>
      </c>
      <c r="E31" s="38" t="s">
        <v>326</v>
      </c>
      <c r="F31" s="131">
        <v>40180</v>
      </c>
      <c r="G31" s="131">
        <v>40481</v>
      </c>
      <c r="H31" s="19">
        <f t="shared" ref="H31" si="1">+G31-F31</f>
        <v>301</v>
      </c>
      <c r="I31" s="63">
        <v>515000</v>
      </c>
      <c r="J31" s="95"/>
      <c r="K31" s="119">
        <v>65000000</v>
      </c>
      <c r="L31" s="96"/>
      <c r="M31" s="192">
        <f>+K31/515000</f>
        <v>126.21359223300971</v>
      </c>
      <c r="O31"/>
      <c r="P31"/>
      <c r="Q31"/>
      <c r="R31"/>
      <c r="S31"/>
      <c r="T31"/>
      <c r="U31"/>
      <c r="V31"/>
      <c r="W31"/>
      <c r="X31"/>
      <c r="Y31"/>
      <c r="Z31"/>
      <c r="AA31"/>
      <c r="AB31"/>
    </row>
    <row r="32" spans="1:28" ht="48">
      <c r="B32" s="191">
        <v>23</v>
      </c>
      <c r="C32" s="53" t="s">
        <v>284</v>
      </c>
      <c r="D32" s="53" t="s">
        <v>233</v>
      </c>
      <c r="E32" s="38" t="s">
        <v>275</v>
      </c>
      <c r="F32" s="131">
        <v>40573</v>
      </c>
      <c r="G32" s="131">
        <v>40938</v>
      </c>
      <c r="H32" s="39">
        <f t="shared" ref="H32:H33" si="2">G32-F32</f>
        <v>365</v>
      </c>
      <c r="I32" s="52">
        <v>566700</v>
      </c>
      <c r="J32" s="95"/>
      <c r="K32" s="119">
        <f>3244500000*0.07</f>
        <v>227115000.00000003</v>
      </c>
      <c r="L32" s="96"/>
      <c r="M32" s="192">
        <f>+K32/535600</f>
        <v>424.0384615384616</v>
      </c>
      <c r="O32"/>
      <c r="P32"/>
      <c r="Q32"/>
      <c r="R32"/>
      <c r="S32"/>
      <c r="T32"/>
      <c r="U32"/>
      <c r="V32"/>
      <c r="W32"/>
      <c r="X32"/>
      <c r="Y32"/>
      <c r="Z32"/>
      <c r="AA32"/>
      <c r="AB32"/>
    </row>
    <row r="33" spans="1:28" ht="72">
      <c r="B33" s="191">
        <v>24</v>
      </c>
      <c r="C33" s="53" t="s">
        <v>279</v>
      </c>
      <c r="D33" s="53" t="s">
        <v>233</v>
      </c>
      <c r="E33" s="111" t="s">
        <v>277</v>
      </c>
      <c r="F33" s="131">
        <v>41304</v>
      </c>
      <c r="G33" s="131">
        <v>41304</v>
      </c>
      <c r="H33" s="39">
        <f t="shared" si="2"/>
        <v>0</v>
      </c>
      <c r="I33" s="52">
        <v>566700</v>
      </c>
      <c r="J33" s="95"/>
      <c r="K33" s="119">
        <f>3244500000*0.06</f>
        <v>194670000</v>
      </c>
      <c r="L33" s="96"/>
      <c r="M33" s="192">
        <f>+K33/589500</f>
        <v>330.2290076335878</v>
      </c>
      <c r="O33"/>
      <c r="P33"/>
      <c r="Q33"/>
      <c r="R33"/>
      <c r="S33"/>
      <c r="T33"/>
      <c r="U33"/>
      <c r="V33"/>
      <c r="W33"/>
      <c r="X33"/>
      <c r="Y33"/>
      <c r="Z33"/>
      <c r="AA33"/>
      <c r="AB33"/>
    </row>
    <row r="34" spans="1:28" ht="84">
      <c r="B34" s="191">
        <v>25</v>
      </c>
      <c r="C34" s="53" t="s">
        <v>294</v>
      </c>
      <c r="D34" s="53" t="s">
        <v>293</v>
      </c>
      <c r="E34" s="335" t="s">
        <v>443</v>
      </c>
      <c r="F34" s="131">
        <v>42034</v>
      </c>
      <c r="G34" s="131">
        <v>42215</v>
      </c>
      <c r="H34" s="99"/>
      <c r="I34" s="52">
        <v>433700</v>
      </c>
      <c r="J34" s="66"/>
      <c r="K34" s="119">
        <v>675520000</v>
      </c>
      <c r="L34" s="67"/>
      <c r="M34" s="192">
        <f>+K34/644350</f>
        <v>1048.3743307208815</v>
      </c>
      <c r="O34"/>
      <c r="P34"/>
      <c r="Q34"/>
      <c r="R34"/>
      <c r="S34"/>
      <c r="T34"/>
      <c r="U34"/>
      <c r="V34"/>
      <c r="W34"/>
      <c r="X34"/>
      <c r="Y34"/>
      <c r="Z34"/>
      <c r="AA34"/>
      <c r="AB34"/>
    </row>
    <row r="35" spans="1:28" ht="61" thickBot="1">
      <c r="B35" s="194">
        <v>26</v>
      </c>
      <c r="C35" s="196" t="s">
        <v>278</v>
      </c>
      <c r="D35" s="196" t="s">
        <v>233</v>
      </c>
      <c r="E35" s="195" t="s">
        <v>276</v>
      </c>
      <c r="F35" s="197">
        <v>43342</v>
      </c>
      <c r="G35" s="197">
        <v>43403</v>
      </c>
      <c r="H35" s="198">
        <f t="shared" ref="H35" si="3">G35-F35</f>
        <v>61</v>
      </c>
      <c r="I35" s="199">
        <v>566700</v>
      </c>
      <c r="J35" s="200"/>
      <c r="K35" s="201">
        <v>37500000</v>
      </c>
      <c r="L35" s="202"/>
      <c r="M35" s="203">
        <f>+K35/781242</f>
        <v>48.000491525033219</v>
      </c>
      <c r="O35"/>
      <c r="P35"/>
      <c r="Q35"/>
      <c r="R35"/>
      <c r="S35"/>
      <c r="T35"/>
      <c r="U35"/>
      <c r="V35"/>
      <c r="W35"/>
      <c r="X35"/>
      <c r="Y35"/>
      <c r="Z35"/>
      <c r="AA35"/>
      <c r="AB35"/>
    </row>
    <row r="36" spans="1:28">
      <c r="O36"/>
      <c r="P36"/>
      <c r="Q36"/>
      <c r="R36"/>
      <c r="S36"/>
      <c r="T36"/>
      <c r="U36"/>
      <c r="V36"/>
      <c r="W36"/>
      <c r="X36"/>
      <c r="Y36"/>
      <c r="Z36"/>
      <c r="AA36"/>
      <c r="AB36"/>
    </row>
    <row r="37" spans="1:28">
      <c r="A37" s="3"/>
      <c r="B37" s="186"/>
      <c r="C37" s="181"/>
      <c r="D37" s="181"/>
      <c r="E37"/>
      <c r="F37" s="181"/>
      <c r="G37" s="181"/>
      <c r="H37"/>
      <c r="I37"/>
      <c r="J37"/>
      <c r="K37" s="127"/>
    </row>
    <row r="38" spans="1:28">
      <c r="A38" s="3"/>
      <c r="B38" s="186"/>
      <c r="C38" s="181"/>
      <c r="D38" s="181"/>
      <c r="E38"/>
      <c r="F38" s="181"/>
      <c r="G38" s="181"/>
      <c r="H38"/>
      <c r="I38"/>
      <c r="J38"/>
      <c r="K38" s="127"/>
    </row>
    <row r="39" spans="1:28">
      <c r="A39" s="3"/>
      <c r="B39" s="186"/>
      <c r="C39" s="181"/>
      <c r="D39" s="181"/>
      <c r="E39"/>
      <c r="F39" s="181"/>
      <c r="G39" s="181"/>
      <c r="H39"/>
      <c r="I39"/>
      <c r="J39"/>
      <c r="K39" s="127"/>
      <c r="L39" s="3"/>
      <c r="M39" s="3"/>
    </row>
    <row r="40" spans="1:28">
      <c r="A40" s="3"/>
      <c r="B40" s="186"/>
      <c r="C40" s="181"/>
      <c r="D40" s="181"/>
      <c r="E40"/>
      <c r="F40" s="181"/>
      <c r="G40" s="181"/>
      <c r="H40"/>
      <c r="I40"/>
      <c r="J40"/>
      <c r="K40" s="127"/>
      <c r="L40" s="3"/>
      <c r="M40" s="3"/>
    </row>
    <row r="41" spans="1:28">
      <c r="A41" s="3"/>
      <c r="B41" s="186"/>
      <c r="C41" s="181"/>
      <c r="D41" s="181"/>
      <c r="E41"/>
      <c r="F41" s="181"/>
      <c r="G41" s="181"/>
      <c r="H41"/>
      <c r="I41"/>
      <c r="J41"/>
      <c r="K41" s="127"/>
      <c r="L41" s="3"/>
      <c r="M41" s="3"/>
    </row>
    <row r="42" spans="1:28">
      <c r="A42" s="3"/>
      <c r="B42" s="186"/>
      <c r="C42" s="181"/>
      <c r="D42" s="181"/>
      <c r="E42"/>
      <c r="F42" s="181"/>
      <c r="G42" s="181"/>
      <c r="H42"/>
      <c r="I42"/>
      <c r="J42"/>
      <c r="K42" s="127"/>
      <c r="L42" s="3"/>
      <c r="M42" s="3"/>
    </row>
    <row r="43" spans="1:28">
      <c r="A43" s="3"/>
      <c r="B43" s="186"/>
      <c r="C43" s="181"/>
      <c r="D43" s="181"/>
      <c r="E43"/>
      <c r="F43" s="181"/>
      <c r="G43" s="181"/>
      <c r="H43"/>
      <c r="I43"/>
      <c r="J43"/>
      <c r="K43" s="127"/>
      <c r="L43" s="3"/>
      <c r="M43" s="3"/>
    </row>
    <row r="44" spans="1:28">
      <c r="A44" s="3"/>
      <c r="B44" s="186"/>
      <c r="C44" s="181"/>
      <c r="D44" s="181"/>
      <c r="E44"/>
      <c r="F44" s="181"/>
      <c r="G44" s="181"/>
      <c r="H44"/>
      <c r="I44"/>
      <c r="J44"/>
      <c r="K44" s="127"/>
      <c r="L44" s="3"/>
      <c r="M44" s="3"/>
    </row>
    <row r="45" spans="1:28">
      <c r="A45" s="3"/>
      <c r="B45" s="186"/>
      <c r="C45" s="181"/>
      <c r="D45" s="181"/>
      <c r="E45"/>
      <c r="F45" s="181"/>
      <c r="G45" s="181"/>
      <c r="H45"/>
      <c r="I45"/>
      <c r="J45"/>
      <c r="K45" s="127"/>
      <c r="L45" s="3"/>
      <c r="M45" s="3"/>
    </row>
    <row r="46" spans="1:28">
      <c r="A46" s="3"/>
      <c r="B46" s="186"/>
      <c r="C46" s="181"/>
      <c r="D46" s="181"/>
      <c r="E46"/>
      <c r="F46" s="181"/>
      <c r="G46" s="181"/>
      <c r="H46"/>
      <c r="I46"/>
      <c r="J46"/>
      <c r="K46" s="127"/>
      <c r="L46" s="3"/>
      <c r="M46" s="3"/>
    </row>
    <row r="47" spans="1:28">
      <c r="A47" s="3"/>
      <c r="B47" s="186"/>
      <c r="C47" s="181"/>
      <c r="D47" s="181"/>
      <c r="E47"/>
      <c r="F47" s="181"/>
      <c r="G47" s="181"/>
      <c r="H47"/>
      <c r="I47"/>
      <c r="J47"/>
      <c r="K47" s="127"/>
      <c r="L47" s="3"/>
      <c r="M47" s="3"/>
    </row>
  </sheetData>
  <sheetProtection password="C23C" sheet="1" objects="1" scenarios="1" selectLockedCells="1" selectUnlockedCells="1"/>
  <mergeCells count="26">
    <mergeCell ref="M8:M9"/>
    <mergeCell ref="K15:K16"/>
    <mergeCell ref="M15:M16"/>
    <mergeCell ref="K18:K19"/>
    <mergeCell ref="M18:M19"/>
    <mergeCell ref="C4:K4"/>
    <mergeCell ref="C5:K5"/>
    <mergeCell ref="K8:K9"/>
    <mergeCell ref="G18:G19"/>
    <mergeCell ref="B18:B19"/>
    <mergeCell ref="C18:C19"/>
    <mergeCell ref="D18:D19"/>
    <mergeCell ref="E18:E19"/>
    <mergeCell ref="F18:F19"/>
    <mergeCell ref="B15:B16"/>
    <mergeCell ref="C15:C16"/>
    <mergeCell ref="D15:D16"/>
    <mergeCell ref="E15:E16"/>
    <mergeCell ref="F15:F16"/>
    <mergeCell ref="G15:G16"/>
    <mergeCell ref="B8:B9"/>
    <mergeCell ref="C8:C9"/>
    <mergeCell ref="D8:D9"/>
    <mergeCell ref="E8:E9"/>
    <mergeCell ref="F8:F9"/>
    <mergeCell ref="G8:G9"/>
  </mergeCells>
  <phoneticPr fontId="18" type="noConversion"/>
  <pageMargins left="0.75000000000000011" right="0.75000000000000011" top="1" bottom="1" header="0.5" footer="0.5"/>
  <pageSetup scale="56" orientation="portrait" horizontalDpi="4294967292" verticalDpi="4294967292"/>
  <extLst>
    <ext xmlns:mx="http://schemas.microsoft.com/office/mac/excel/2008/main" uri="{64002731-A6B0-56B0-2670-7721B7C09600}">
      <mx:PLV Mode="0" OnePage="0" WScale="10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AB24"/>
  <sheetViews>
    <sheetView topLeftCell="B1" workbookViewId="0">
      <selection activeCell="B1" sqref="B1"/>
    </sheetView>
  </sheetViews>
  <sheetFormatPr baseColWidth="10" defaultRowHeight="15" x14ac:dyDescent="0"/>
  <cols>
    <col min="1" max="1" width="1.33203125" style="1" hidden="1" customWidth="1"/>
    <col min="2" max="2" width="4.33203125" style="184" customWidth="1"/>
    <col min="3" max="3" width="15.83203125" style="333" customWidth="1"/>
    <col min="4" max="4" width="20.83203125" style="15" customWidth="1"/>
    <col min="5" max="5" width="40.83203125" style="3" customWidth="1"/>
    <col min="6" max="7" width="10.83203125" style="144" customWidth="1"/>
    <col min="8" max="8" width="8.1640625" style="6" hidden="1" customWidth="1"/>
    <col min="9" max="9" width="14.5" style="4" hidden="1" customWidth="1"/>
    <col min="10" max="10" width="9.83203125" style="7" hidden="1" customWidth="1"/>
    <col min="11" max="11" width="15.83203125" style="117" customWidth="1"/>
    <col min="12" max="12" width="15.33203125" style="4" hidden="1" customWidth="1"/>
    <col min="13" max="13" width="15.83203125" style="7" customWidth="1"/>
    <col min="14" max="16384" width="10.83203125" style="3"/>
  </cols>
  <sheetData>
    <row r="1" spans="1:28">
      <c r="O1"/>
      <c r="P1"/>
      <c r="Q1"/>
      <c r="R1"/>
      <c r="S1"/>
      <c r="T1"/>
      <c r="U1"/>
      <c r="V1"/>
      <c r="W1"/>
      <c r="X1"/>
      <c r="Y1"/>
      <c r="Z1"/>
      <c r="AA1"/>
      <c r="AB1"/>
    </row>
    <row r="2" spans="1:28">
      <c r="B2" s="29"/>
      <c r="C2" s="70"/>
      <c r="D2" s="70"/>
      <c r="E2" s="68"/>
      <c r="F2" s="134"/>
      <c r="G2" s="134"/>
      <c r="H2" s="55"/>
      <c r="I2" s="145"/>
      <c r="J2" s="165"/>
      <c r="K2" s="121"/>
      <c r="L2" s="166"/>
      <c r="M2" s="147"/>
      <c r="O2"/>
      <c r="P2"/>
      <c r="Q2"/>
      <c r="R2"/>
      <c r="S2"/>
      <c r="T2"/>
      <c r="U2"/>
      <c r="V2"/>
      <c r="W2"/>
      <c r="X2"/>
      <c r="Y2"/>
      <c r="Z2"/>
      <c r="AA2"/>
      <c r="AB2"/>
    </row>
    <row r="3" spans="1:28" ht="18">
      <c r="B3" s="182"/>
      <c r="C3" s="331"/>
      <c r="D3" s="75"/>
      <c r="E3" s="78" t="s">
        <v>0</v>
      </c>
      <c r="H3" s="79"/>
      <c r="I3" s="80"/>
      <c r="J3" s="81"/>
      <c r="K3" s="116"/>
      <c r="L3" s="80"/>
      <c r="M3" s="82"/>
      <c r="O3"/>
      <c r="P3"/>
      <c r="Q3"/>
      <c r="R3"/>
      <c r="S3"/>
      <c r="T3"/>
      <c r="U3"/>
      <c r="V3"/>
      <c r="W3"/>
      <c r="X3"/>
      <c r="Y3"/>
      <c r="Z3"/>
      <c r="AA3"/>
      <c r="AB3"/>
    </row>
    <row r="4" spans="1:28" ht="18">
      <c r="B4" s="182"/>
      <c r="C4" s="331"/>
      <c r="D4" s="75"/>
      <c r="E4" s="78" t="s">
        <v>256</v>
      </c>
      <c r="H4" s="79"/>
      <c r="I4" s="80"/>
      <c r="J4" s="81"/>
      <c r="K4" s="116"/>
      <c r="L4" s="80"/>
      <c r="M4" s="82"/>
      <c r="O4"/>
      <c r="P4"/>
      <c r="Q4"/>
      <c r="R4"/>
      <c r="S4"/>
      <c r="T4"/>
      <c r="U4"/>
      <c r="V4"/>
      <c r="W4"/>
      <c r="X4"/>
      <c r="Y4"/>
      <c r="Z4"/>
      <c r="AA4"/>
      <c r="AB4"/>
    </row>
    <row r="5" spans="1:28" s="10" customFormat="1" ht="22" customHeight="1">
      <c r="A5" s="8"/>
      <c r="B5" s="183"/>
      <c r="C5" s="332"/>
      <c r="D5" s="83"/>
      <c r="E5" s="85"/>
      <c r="F5" s="236"/>
      <c r="G5" s="236"/>
      <c r="H5" s="86"/>
      <c r="I5" s="9"/>
      <c r="J5" s="9"/>
      <c r="K5" s="115"/>
      <c r="L5" s="9"/>
      <c r="M5" s="9"/>
      <c r="O5"/>
      <c r="P5"/>
      <c r="Q5"/>
      <c r="R5"/>
      <c r="S5"/>
      <c r="T5"/>
      <c r="U5"/>
      <c r="V5"/>
      <c r="W5"/>
      <c r="X5"/>
      <c r="Y5"/>
      <c r="Z5"/>
      <c r="AA5"/>
      <c r="AB5"/>
    </row>
    <row r="6" spans="1:28" s="10" customFormat="1" ht="23">
      <c r="A6" s="8"/>
      <c r="B6" s="183"/>
      <c r="C6" s="344" t="s">
        <v>392</v>
      </c>
      <c r="D6" s="344"/>
      <c r="E6" s="344"/>
      <c r="F6" s="344"/>
      <c r="G6" s="344"/>
      <c r="H6" s="344"/>
      <c r="I6" s="344"/>
      <c r="J6" s="344"/>
      <c r="K6" s="344"/>
      <c r="L6" s="9"/>
      <c r="M6" s="9"/>
      <c r="O6"/>
      <c r="P6"/>
      <c r="Q6"/>
      <c r="R6"/>
      <c r="S6"/>
      <c r="T6"/>
      <c r="U6"/>
      <c r="V6"/>
      <c r="W6"/>
      <c r="X6"/>
      <c r="Y6"/>
      <c r="Z6"/>
      <c r="AA6"/>
      <c r="AB6"/>
    </row>
    <row r="7" spans="1:28" s="10" customFormat="1" ht="23">
      <c r="A7" s="8"/>
      <c r="B7" s="29"/>
      <c r="C7" s="344" t="s">
        <v>393</v>
      </c>
      <c r="D7" s="344"/>
      <c r="E7" s="344"/>
      <c r="F7" s="344"/>
      <c r="G7" s="344"/>
      <c r="H7" s="344"/>
      <c r="I7" s="344"/>
      <c r="J7" s="344"/>
      <c r="K7" s="344"/>
      <c r="L7" s="87"/>
      <c r="M7" s="87"/>
      <c r="O7"/>
      <c r="P7"/>
      <c r="Q7"/>
      <c r="R7"/>
      <c r="S7"/>
      <c r="T7"/>
      <c r="U7"/>
      <c r="V7"/>
      <c r="W7"/>
      <c r="X7"/>
      <c r="Y7"/>
      <c r="Z7"/>
      <c r="AA7"/>
      <c r="AB7"/>
    </row>
    <row r="8" spans="1:28" s="10" customFormat="1" ht="24" thickBot="1">
      <c r="A8" s="8"/>
      <c r="B8" s="29"/>
      <c r="C8" s="43"/>
      <c r="D8" s="43"/>
      <c r="E8" s="43"/>
      <c r="F8" s="43"/>
      <c r="G8" s="43"/>
      <c r="H8" s="43"/>
      <c r="I8" s="43"/>
      <c r="J8" s="43"/>
      <c r="K8" s="43"/>
      <c r="L8" s="87"/>
      <c r="M8" s="87"/>
      <c r="O8"/>
      <c r="P8"/>
      <c r="Q8"/>
      <c r="R8"/>
      <c r="S8"/>
      <c r="T8"/>
      <c r="U8"/>
      <c r="V8"/>
      <c r="W8"/>
      <c r="X8"/>
      <c r="Y8"/>
      <c r="Z8"/>
      <c r="AA8"/>
      <c r="AB8"/>
    </row>
    <row r="9" spans="1:28" s="10" customFormat="1" ht="40" customHeight="1" thickBot="1">
      <c r="A9" s="8"/>
      <c r="B9" s="211" t="s">
        <v>1</v>
      </c>
      <c r="C9" s="321" t="s">
        <v>2</v>
      </c>
      <c r="D9" s="212" t="s">
        <v>3</v>
      </c>
      <c r="E9" s="212" t="s">
        <v>4</v>
      </c>
      <c r="F9" s="213" t="s">
        <v>5</v>
      </c>
      <c r="G9" s="213" t="s">
        <v>6</v>
      </c>
      <c r="H9" s="214" t="s">
        <v>7</v>
      </c>
      <c r="I9" s="215" t="s">
        <v>8</v>
      </c>
      <c r="J9" s="215" t="s">
        <v>9</v>
      </c>
      <c r="K9" s="216" t="s">
        <v>250</v>
      </c>
      <c r="L9" s="215" t="s">
        <v>10</v>
      </c>
      <c r="M9" s="217" t="s">
        <v>11</v>
      </c>
      <c r="O9"/>
      <c r="P9"/>
      <c r="Q9"/>
      <c r="R9"/>
      <c r="S9"/>
      <c r="T9"/>
      <c r="U9"/>
      <c r="V9"/>
      <c r="W9"/>
      <c r="X9"/>
      <c r="Y9"/>
      <c r="Z9"/>
      <c r="AA9"/>
      <c r="AB9"/>
    </row>
    <row r="10" spans="1:28" s="12" customFormat="1" ht="24">
      <c r="A10" s="11" t="e">
        <f>#REF!-1</f>
        <v>#REF!</v>
      </c>
      <c r="B10" s="263">
        <v>1</v>
      </c>
      <c r="C10" s="278" t="s">
        <v>12</v>
      </c>
      <c r="D10" s="137" t="s">
        <v>13</v>
      </c>
      <c r="E10" s="249" t="s">
        <v>14</v>
      </c>
      <c r="F10" s="250">
        <v>29540</v>
      </c>
      <c r="G10" s="250">
        <v>29782</v>
      </c>
      <c r="H10" s="220">
        <f>+G10-F10</f>
        <v>242</v>
      </c>
      <c r="I10" s="221">
        <v>33654941</v>
      </c>
      <c r="J10" s="222">
        <v>1</v>
      </c>
      <c r="K10" s="251">
        <f>+I10*J10</f>
        <v>33654941</v>
      </c>
      <c r="L10" s="223">
        <f>+K10/59.07</f>
        <v>569746.75808362954</v>
      </c>
      <c r="M10" s="210">
        <f>+K10/11600</f>
        <v>2901.2880172413793</v>
      </c>
      <c r="O10"/>
      <c r="P10"/>
      <c r="Q10"/>
      <c r="R10"/>
      <c r="S10"/>
      <c r="T10"/>
      <c r="U10"/>
      <c r="V10"/>
      <c r="W10"/>
      <c r="X10"/>
      <c r="Y10"/>
      <c r="Z10"/>
      <c r="AA10"/>
      <c r="AB10"/>
    </row>
    <row r="11" spans="1:28" s="12" customFormat="1" ht="24">
      <c r="A11" s="11"/>
      <c r="B11" s="191">
        <v>2</v>
      </c>
      <c r="C11" s="17" t="s">
        <v>323</v>
      </c>
      <c r="D11" s="28" t="s">
        <v>20</v>
      </c>
      <c r="E11" s="33" t="s">
        <v>21</v>
      </c>
      <c r="F11" s="129">
        <v>30498</v>
      </c>
      <c r="G11" s="129">
        <v>30844</v>
      </c>
      <c r="H11" s="34">
        <v>346</v>
      </c>
      <c r="I11" s="88">
        <v>47511510.840000004</v>
      </c>
      <c r="J11" s="36">
        <v>1</v>
      </c>
      <c r="K11" s="113">
        <v>47511510.840000004</v>
      </c>
      <c r="L11" s="89">
        <v>417170.17</v>
      </c>
      <c r="M11" s="224">
        <v>2684.27</v>
      </c>
    </row>
    <row r="12" spans="1:28" s="12" customFormat="1">
      <c r="A12" s="11"/>
      <c r="B12" s="191">
        <v>3</v>
      </c>
      <c r="C12" s="17" t="s">
        <v>22</v>
      </c>
      <c r="D12" s="28" t="s">
        <v>23</v>
      </c>
      <c r="E12" s="33" t="s">
        <v>24</v>
      </c>
      <c r="F12" s="129">
        <v>31843</v>
      </c>
      <c r="G12" s="129">
        <v>32027</v>
      </c>
      <c r="H12" s="39">
        <f>+G12-F12</f>
        <v>184</v>
      </c>
      <c r="I12" s="46">
        <f>40827500+39835000+5593000</f>
        <v>86255500</v>
      </c>
      <c r="J12" s="41">
        <v>1</v>
      </c>
      <c r="K12" s="113">
        <f>+I12*J12</f>
        <v>86255500</v>
      </c>
      <c r="L12" s="42">
        <f>+K12/263.7</f>
        <v>327097.08001516876</v>
      </c>
      <c r="M12" s="189">
        <f>+K12/27000</f>
        <v>3194.6481481481483</v>
      </c>
    </row>
    <row r="13" spans="1:28" s="12" customFormat="1" ht="37" thickBot="1">
      <c r="A13" s="11"/>
      <c r="B13" s="194">
        <v>4</v>
      </c>
      <c r="C13" s="325" t="s">
        <v>81</v>
      </c>
      <c r="D13" s="196" t="s">
        <v>82</v>
      </c>
      <c r="E13" s="195" t="s">
        <v>83</v>
      </c>
      <c r="F13" s="258">
        <v>37623</v>
      </c>
      <c r="G13" s="258">
        <v>38168</v>
      </c>
      <c r="H13" s="198">
        <f>G13-F13</f>
        <v>545</v>
      </c>
      <c r="I13" s="259">
        <v>1531579005</v>
      </c>
      <c r="J13" s="260">
        <v>1</v>
      </c>
      <c r="K13" s="201">
        <v>1531579005</v>
      </c>
      <c r="L13" s="232">
        <f>+K13/2778.21</f>
        <v>551282.66221775895</v>
      </c>
      <c r="M13" s="233">
        <f>K13/332000</f>
        <v>4613.1897740963859</v>
      </c>
    </row>
    <row r="14" spans="1:28" s="12" customFormat="1">
      <c r="A14" s="11"/>
      <c r="B14" s="29"/>
      <c r="C14" s="328"/>
      <c r="D14" s="70"/>
      <c r="E14" s="68"/>
      <c r="F14" s="171"/>
      <c r="G14" s="171"/>
      <c r="H14" s="55"/>
      <c r="I14" s="147"/>
      <c r="J14" s="57"/>
      <c r="K14" s="121"/>
      <c r="L14" s="58"/>
      <c r="M14" s="59"/>
    </row>
    <row r="15" spans="1:28">
      <c r="A15" s="3"/>
      <c r="B15" s="186"/>
      <c r="C15" s="181"/>
      <c r="D15" s="181"/>
      <c r="E15"/>
      <c r="F15" s="181"/>
      <c r="G15" s="181"/>
      <c r="H15"/>
      <c r="I15"/>
      <c r="J15"/>
      <c r="K15" s="127"/>
    </row>
    <row r="16" spans="1:28">
      <c r="A16" s="3"/>
      <c r="B16" s="186"/>
      <c r="C16" s="181"/>
      <c r="D16" s="181"/>
      <c r="E16"/>
      <c r="F16" s="181"/>
      <c r="G16" s="181"/>
      <c r="H16"/>
      <c r="I16"/>
      <c r="J16"/>
      <c r="K16" s="127"/>
      <c r="L16" s="3"/>
      <c r="M16" s="3"/>
    </row>
    <row r="17" spans="1:13">
      <c r="A17" s="3"/>
      <c r="B17" s="186"/>
      <c r="C17" s="181"/>
      <c r="D17" s="181"/>
      <c r="E17"/>
      <c r="F17" s="181"/>
      <c r="G17" s="181"/>
      <c r="H17"/>
      <c r="I17"/>
      <c r="J17"/>
      <c r="K17" s="127"/>
      <c r="L17" s="3"/>
      <c r="M17" s="3"/>
    </row>
    <row r="18" spans="1:13">
      <c r="A18" s="3"/>
      <c r="B18" s="186"/>
      <c r="C18" s="181"/>
      <c r="D18" s="181"/>
      <c r="E18"/>
      <c r="F18" s="181"/>
      <c r="G18" s="181"/>
      <c r="H18"/>
      <c r="I18"/>
      <c r="J18"/>
      <c r="K18" s="127"/>
      <c r="L18" s="3"/>
      <c r="M18" s="3"/>
    </row>
    <row r="19" spans="1:13">
      <c r="A19" s="3"/>
      <c r="B19" s="186"/>
      <c r="C19" s="181"/>
      <c r="D19" s="181"/>
      <c r="E19"/>
      <c r="F19" s="181"/>
      <c r="G19" s="181"/>
      <c r="H19"/>
      <c r="I19"/>
      <c r="J19"/>
      <c r="K19" s="127"/>
      <c r="L19" s="3"/>
      <c r="M19" s="3"/>
    </row>
    <row r="20" spans="1:13">
      <c r="A20" s="3"/>
      <c r="B20" s="186"/>
      <c r="C20" s="181"/>
      <c r="D20" s="181"/>
      <c r="E20"/>
      <c r="F20" s="181"/>
      <c r="G20" s="181"/>
      <c r="H20"/>
      <c r="I20"/>
      <c r="J20"/>
      <c r="K20" s="127"/>
      <c r="L20" s="3"/>
      <c r="M20" s="3"/>
    </row>
    <row r="21" spans="1:13">
      <c r="A21" s="3"/>
      <c r="B21" s="186"/>
      <c r="C21" s="181"/>
      <c r="D21" s="181"/>
      <c r="E21"/>
      <c r="F21" s="181"/>
      <c r="G21" s="181"/>
      <c r="H21"/>
      <c r="I21"/>
      <c r="J21"/>
      <c r="K21" s="127"/>
      <c r="L21" s="3"/>
      <c r="M21" s="3"/>
    </row>
    <row r="22" spans="1:13">
      <c r="A22" s="3"/>
      <c r="B22" s="186"/>
      <c r="C22" s="181"/>
      <c r="D22" s="181"/>
      <c r="E22"/>
      <c r="F22" s="181"/>
      <c r="G22" s="181"/>
      <c r="H22"/>
      <c r="I22"/>
      <c r="J22"/>
      <c r="K22" s="127"/>
      <c r="L22" s="3"/>
      <c r="M22" s="3"/>
    </row>
    <row r="23" spans="1:13">
      <c r="A23" s="3"/>
      <c r="B23" s="186"/>
      <c r="C23" s="181"/>
      <c r="D23" s="181"/>
      <c r="E23"/>
      <c r="F23" s="181"/>
      <c r="G23" s="181"/>
      <c r="H23"/>
      <c r="I23"/>
      <c r="J23"/>
      <c r="K23" s="127"/>
      <c r="L23" s="3"/>
      <c r="M23" s="3"/>
    </row>
    <row r="24" spans="1:13">
      <c r="A24" s="3"/>
      <c r="B24" s="186"/>
      <c r="C24" s="181"/>
      <c r="D24" s="181"/>
      <c r="E24"/>
      <c r="F24" s="181"/>
      <c r="G24" s="181"/>
      <c r="H24"/>
      <c r="I24"/>
      <c r="J24"/>
      <c r="K24" s="127"/>
      <c r="L24" s="3"/>
      <c r="M24" s="3"/>
    </row>
  </sheetData>
  <sheetProtection password="C23C" sheet="1" objects="1" scenarios="1" selectLockedCells="1" selectUnlockedCells="1"/>
  <mergeCells count="2">
    <mergeCell ref="C6:K6"/>
    <mergeCell ref="C7:K7"/>
  </mergeCells>
  <phoneticPr fontId="18" type="noConversion"/>
  <pageMargins left="0.75000000000000011" right="0.75000000000000011" top="1" bottom="1" header="0.5" footer="0.5"/>
  <pageSetup scale="62" orientation="portrait" horizontalDpi="4294967292" verticalDpi="4294967292"/>
  <extLst>
    <ext xmlns:mx="http://schemas.microsoft.com/office/mac/excel/2008/main" uri="{64002731-A6B0-56B0-2670-7721B7C09600}">
      <mx:PLV Mode="0" OnePage="0" WScale="10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Y46"/>
  <sheetViews>
    <sheetView topLeftCell="B1" workbookViewId="0">
      <selection activeCell="B1" sqref="B1"/>
    </sheetView>
  </sheetViews>
  <sheetFormatPr baseColWidth="10" defaultRowHeight="15" x14ac:dyDescent="0"/>
  <cols>
    <col min="1" max="1" width="1.33203125" style="1" hidden="1" customWidth="1"/>
    <col min="2" max="2" width="4.33203125" style="184" customWidth="1"/>
    <col min="3" max="3" width="15.83203125" style="333" customWidth="1"/>
    <col min="4" max="4" width="20.83203125" style="15" customWidth="1"/>
    <col min="5" max="5" width="40.83203125" style="3" customWidth="1"/>
    <col min="6" max="7" width="10.83203125" style="144" customWidth="1"/>
    <col min="8" max="8" width="8.1640625" style="6" hidden="1" customWidth="1"/>
    <col min="9" max="9" width="14.5" style="4" hidden="1" customWidth="1"/>
    <col min="10" max="10" width="9.83203125" style="7" hidden="1" customWidth="1"/>
    <col min="11" max="11" width="15.83203125" style="117" customWidth="1"/>
    <col min="12" max="12" width="15.33203125" style="4" hidden="1" customWidth="1"/>
    <col min="13" max="13" width="15.83203125" style="7" customWidth="1"/>
    <col min="14" max="16384" width="10.83203125" style="3"/>
  </cols>
  <sheetData>
    <row r="1" spans="1:24" s="12" customFormat="1" ht="18">
      <c r="A1" s="11"/>
      <c r="B1" s="160"/>
      <c r="C1" s="160"/>
      <c r="D1" s="160"/>
      <c r="E1" s="172" t="s">
        <v>0</v>
      </c>
      <c r="F1" s="237"/>
      <c r="G1" s="237"/>
      <c r="H1" s="173"/>
      <c r="I1" s="161"/>
      <c r="J1" s="16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</row>
    <row r="2" spans="1:24" s="12" customFormat="1" ht="18">
      <c r="A2" s="11"/>
      <c r="B2" s="160"/>
      <c r="C2" s="160"/>
      <c r="D2" s="160"/>
      <c r="E2" s="172" t="s">
        <v>256</v>
      </c>
      <c r="F2" s="237"/>
      <c r="G2" s="237"/>
      <c r="H2" s="173"/>
      <c r="I2" s="161"/>
      <c r="J2" s="16"/>
      <c r="K2" s="107"/>
      <c r="L2" s="107"/>
      <c r="M2" s="107"/>
      <c r="N2" s="107"/>
      <c r="O2" s="107"/>
      <c r="P2" s="107"/>
      <c r="Q2" s="107"/>
      <c r="R2" s="107"/>
      <c r="S2" s="107"/>
      <c r="T2" s="107"/>
      <c r="U2" s="107"/>
      <c r="V2" s="107"/>
      <c r="W2" s="107"/>
      <c r="X2" s="107"/>
    </row>
    <row r="3" spans="1:24" s="12" customFormat="1">
      <c r="A3" s="11"/>
      <c r="B3" s="185"/>
      <c r="C3" s="174"/>
      <c r="D3" s="174"/>
      <c r="E3" s="175"/>
      <c r="F3" s="238"/>
      <c r="G3" s="238"/>
      <c r="H3" s="177"/>
      <c r="I3" s="178"/>
      <c r="J3" s="10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/>
      <c r="V3" s="107"/>
      <c r="W3" s="107"/>
      <c r="X3" s="107"/>
    </row>
    <row r="4" spans="1:24" s="12" customFormat="1" ht="23">
      <c r="A4" s="11"/>
      <c r="B4" s="185"/>
      <c r="C4" s="344" t="s">
        <v>390</v>
      </c>
      <c r="D4" s="344"/>
      <c r="E4" s="344"/>
      <c r="F4" s="344"/>
      <c r="G4" s="344"/>
      <c r="H4" s="344"/>
      <c r="I4" s="344"/>
      <c r="J4" s="344"/>
      <c r="K4" s="344"/>
      <c r="L4" s="107"/>
      <c r="M4" s="107"/>
      <c r="N4" s="107"/>
      <c r="O4" s="107"/>
      <c r="P4" s="107"/>
      <c r="Q4" s="107"/>
      <c r="R4" s="107"/>
      <c r="S4" s="107"/>
      <c r="T4" s="107"/>
      <c r="U4" s="107"/>
      <c r="V4" s="107"/>
      <c r="W4" s="107"/>
      <c r="X4" s="107"/>
    </row>
    <row r="5" spans="1:24" s="12" customFormat="1" ht="24" thickBot="1">
      <c r="A5" s="11"/>
      <c r="B5" s="29"/>
      <c r="C5" s="344" t="s">
        <v>391</v>
      </c>
      <c r="D5" s="344"/>
      <c r="E5" s="344"/>
      <c r="F5" s="344"/>
      <c r="G5" s="344"/>
      <c r="H5" s="344"/>
      <c r="I5" s="344"/>
      <c r="J5" s="344"/>
      <c r="K5" s="344"/>
      <c r="L5" s="58"/>
      <c r="M5" s="59"/>
    </row>
    <row r="6" spans="1:24" s="12" customFormat="1" ht="46" thickBot="1">
      <c r="A6" s="11"/>
      <c r="B6" s="211" t="s">
        <v>1</v>
      </c>
      <c r="C6" s="321" t="s">
        <v>2</v>
      </c>
      <c r="D6" s="212" t="s">
        <v>3</v>
      </c>
      <c r="E6" s="212" t="s">
        <v>4</v>
      </c>
      <c r="F6" s="213" t="s">
        <v>5</v>
      </c>
      <c r="G6" s="213" t="s">
        <v>6</v>
      </c>
      <c r="H6" s="214" t="s">
        <v>7</v>
      </c>
      <c r="I6" s="215" t="s">
        <v>8</v>
      </c>
      <c r="J6" s="215" t="s">
        <v>9</v>
      </c>
      <c r="K6" s="216" t="s">
        <v>250</v>
      </c>
      <c r="L6" s="215" t="s">
        <v>10</v>
      </c>
      <c r="M6" s="217" t="s">
        <v>11</v>
      </c>
    </row>
    <row r="7" spans="1:24" s="12" customFormat="1" ht="24">
      <c r="A7" s="11" t="e">
        <f>#REF!-1</f>
        <v>#REF!</v>
      </c>
      <c r="B7" s="263">
        <v>1</v>
      </c>
      <c r="C7" s="278" t="s">
        <v>15</v>
      </c>
      <c r="D7" s="137" t="s">
        <v>16</v>
      </c>
      <c r="E7" s="249" t="s">
        <v>17</v>
      </c>
      <c r="F7" s="250">
        <v>29997</v>
      </c>
      <c r="G7" s="250">
        <v>34135</v>
      </c>
      <c r="H7" s="220">
        <f>G7-F7</f>
        <v>4138</v>
      </c>
      <c r="I7" s="261">
        <v>4703063700.2399998</v>
      </c>
      <c r="J7" s="222">
        <v>0.85</v>
      </c>
      <c r="K7" s="251">
        <f>I7*J7</f>
        <v>3997604145.2039995</v>
      </c>
      <c r="L7" s="223">
        <f>+K7/263.7</f>
        <v>15159666.838088736</v>
      </c>
      <c r="M7" s="210">
        <f>K7/81510</f>
        <v>49044.339899447914</v>
      </c>
    </row>
    <row r="8" spans="1:24" s="12" customFormat="1" ht="24">
      <c r="A8" s="11" t="e">
        <f t="shared" ref="A8:A28" si="0">A7-1</f>
        <v>#REF!</v>
      </c>
      <c r="B8" s="191">
        <f>+B7+1</f>
        <v>2</v>
      </c>
      <c r="C8" s="17"/>
      <c r="D8" s="28" t="s">
        <v>18</v>
      </c>
      <c r="E8" s="33" t="s">
        <v>19</v>
      </c>
      <c r="F8" s="129">
        <f>G8-1080</f>
        <v>30056</v>
      </c>
      <c r="G8" s="129">
        <v>31136</v>
      </c>
      <c r="H8" s="39">
        <f>+G8-F8</f>
        <v>1080</v>
      </c>
      <c r="I8" s="46">
        <v>332556575</v>
      </c>
      <c r="J8" s="41">
        <v>1</v>
      </c>
      <c r="K8" s="113">
        <f>+I8*J8</f>
        <v>332556575</v>
      </c>
      <c r="L8" s="42">
        <f>+K8/172.2</f>
        <v>1931222.8513356564</v>
      </c>
      <c r="M8" s="189">
        <f>+K8/20500</f>
        <v>16222.271951219513</v>
      </c>
    </row>
    <row r="9" spans="1:24" s="12" customFormat="1" ht="24">
      <c r="A9" s="11" t="e">
        <f>#REF!-1</f>
        <v>#REF!</v>
      </c>
      <c r="B9" s="191">
        <f t="shared" ref="B9:B32" si="1">+B8+1</f>
        <v>3</v>
      </c>
      <c r="C9" s="17" t="s">
        <v>25</v>
      </c>
      <c r="D9" s="28" t="s">
        <v>16</v>
      </c>
      <c r="E9" s="33" t="s">
        <v>26</v>
      </c>
      <c r="F9" s="129">
        <v>32704</v>
      </c>
      <c r="G9" s="129">
        <v>34119</v>
      </c>
      <c r="H9" s="39">
        <f t="shared" ref="H9:H29" si="2">G9-F9</f>
        <v>1415</v>
      </c>
      <c r="I9" s="46">
        <v>2055914715</v>
      </c>
      <c r="J9" s="41">
        <v>1</v>
      </c>
      <c r="K9" s="113">
        <f t="shared" ref="K9:K28" si="3">I9*J9</f>
        <v>2055914715</v>
      </c>
      <c r="L9" s="42">
        <f>+K9/638.61</f>
        <v>3219358.787053131</v>
      </c>
      <c r="M9" s="189">
        <f>K9/81510</f>
        <v>25222.852594773649</v>
      </c>
    </row>
    <row r="10" spans="1:24" s="12" customFormat="1" ht="24">
      <c r="A10" s="11" t="e">
        <f t="shared" si="0"/>
        <v>#REF!</v>
      </c>
      <c r="B10" s="191">
        <f t="shared" si="1"/>
        <v>4</v>
      </c>
      <c r="C10" s="17" t="s">
        <v>27</v>
      </c>
      <c r="D10" s="28" t="s">
        <v>16</v>
      </c>
      <c r="E10" s="33" t="s">
        <v>28</v>
      </c>
      <c r="F10" s="129">
        <v>32979</v>
      </c>
      <c r="G10" s="129">
        <v>33866</v>
      </c>
      <c r="H10" s="39">
        <f t="shared" si="2"/>
        <v>887</v>
      </c>
      <c r="I10" s="46">
        <v>3160377481.75</v>
      </c>
      <c r="J10" s="41">
        <v>0.8</v>
      </c>
      <c r="K10" s="113">
        <f t="shared" si="3"/>
        <v>2528301985.4000001</v>
      </c>
      <c r="L10" s="42">
        <f>+K10/638.61</f>
        <v>3959070.4583392055</v>
      </c>
      <c r="M10" s="189">
        <f>K10/65190</f>
        <v>38783.586215677249</v>
      </c>
    </row>
    <row r="11" spans="1:24" s="12" customFormat="1" ht="24">
      <c r="A11" s="11" t="e">
        <f>#REF!-1</f>
        <v>#REF!</v>
      </c>
      <c r="B11" s="191">
        <f t="shared" si="1"/>
        <v>5</v>
      </c>
      <c r="C11" s="17" t="s">
        <v>32</v>
      </c>
      <c r="D11" s="28" t="s">
        <v>95</v>
      </c>
      <c r="E11" s="33" t="s">
        <v>33</v>
      </c>
      <c r="F11" s="129">
        <v>33526</v>
      </c>
      <c r="G11" s="129">
        <v>33739</v>
      </c>
      <c r="H11" s="39">
        <f t="shared" si="2"/>
        <v>213</v>
      </c>
      <c r="I11" s="46">
        <v>941287343.59000003</v>
      </c>
      <c r="J11" s="41">
        <v>1</v>
      </c>
      <c r="K11" s="113">
        <f t="shared" si="3"/>
        <v>941287343.59000003</v>
      </c>
      <c r="L11" s="42">
        <f>+K11/737.98</f>
        <v>1275491.6713054555</v>
      </c>
      <c r="M11" s="189">
        <f>K11/65190</f>
        <v>14439.137039269826</v>
      </c>
    </row>
    <row r="12" spans="1:24" s="12" customFormat="1" ht="24">
      <c r="A12" s="11" t="e">
        <f t="shared" si="0"/>
        <v>#REF!</v>
      </c>
      <c r="B12" s="191">
        <f t="shared" si="1"/>
        <v>6</v>
      </c>
      <c r="C12" s="17" t="s">
        <v>34</v>
      </c>
      <c r="D12" s="28" t="s">
        <v>16</v>
      </c>
      <c r="E12" s="33" t="s">
        <v>35</v>
      </c>
      <c r="F12" s="129">
        <v>33571</v>
      </c>
      <c r="G12" s="129">
        <v>35033</v>
      </c>
      <c r="H12" s="39">
        <f t="shared" si="2"/>
        <v>1462</v>
      </c>
      <c r="I12" s="46">
        <v>5040873182</v>
      </c>
      <c r="J12" s="41">
        <v>1</v>
      </c>
      <c r="K12" s="113">
        <f t="shared" si="3"/>
        <v>5040873182</v>
      </c>
      <c r="L12" s="42">
        <f>+K12/804.33</f>
        <v>6267170.4176146602</v>
      </c>
      <c r="M12" s="189">
        <f>K12/118933.5</f>
        <v>42383.963996687227</v>
      </c>
    </row>
    <row r="13" spans="1:24" s="12" customFormat="1" ht="36">
      <c r="A13" s="11" t="e">
        <f>#REF!-1</f>
        <v>#REF!</v>
      </c>
      <c r="B13" s="191">
        <f t="shared" si="1"/>
        <v>7</v>
      </c>
      <c r="C13" s="17" t="s">
        <v>36</v>
      </c>
      <c r="D13" s="28" t="s">
        <v>253</v>
      </c>
      <c r="E13" s="33" t="s">
        <v>37</v>
      </c>
      <c r="F13" s="129">
        <v>34015</v>
      </c>
      <c r="G13" s="129">
        <v>34454</v>
      </c>
      <c r="H13" s="39">
        <f t="shared" si="2"/>
        <v>439</v>
      </c>
      <c r="I13" s="46">
        <v>2400398105</v>
      </c>
      <c r="J13" s="41">
        <v>1</v>
      </c>
      <c r="K13" s="113">
        <f t="shared" si="3"/>
        <v>2400398105</v>
      </c>
      <c r="L13" s="42">
        <f>+K13/831.27</f>
        <v>2887627.4916693736</v>
      </c>
      <c r="M13" s="189">
        <f>K13/98700</f>
        <v>24320.142907801419</v>
      </c>
    </row>
    <row r="14" spans="1:24" s="12" customFormat="1" ht="36">
      <c r="A14" s="11" t="e">
        <f t="shared" si="0"/>
        <v>#REF!</v>
      </c>
      <c r="B14" s="191">
        <f t="shared" si="1"/>
        <v>8</v>
      </c>
      <c r="C14" s="327" t="s">
        <v>38</v>
      </c>
      <c r="D14" s="28" t="s">
        <v>39</v>
      </c>
      <c r="E14" s="33" t="s">
        <v>40</v>
      </c>
      <c r="F14" s="129">
        <v>34043</v>
      </c>
      <c r="G14" s="129">
        <v>34349</v>
      </c>
      <c r="H14" s="39">
        <f t="shared" si="2"/>
        <v>306</v>
      </c>
      <c r="I14" s="45">
        <f>1015211204+218737357</f>
        <v>1233948561</v>
      </c>
      <c r="J14" s="41">
        <v>1</v>
      </c>
      <c r="K14" s="113">
        <f t="shared" si="3"/>
        <v>1233948561</v>
      </c>
      <c r="L14" s="42">
        <f>+K14/831.27</f>
        <v>1484413.6814753329</v>
      </c>
      <c r="M14" s="189">
        <f>K14/98700</f>
        <v>12502.011762917933</v>
      </c>
    </row>
    <row r="15" spans="1:24" s="12" customFormat="1" ht="36">
      <c r="A15" s="11" t="e">
        <f>#REF!-1</f>
        <v>#REF!</v>
      </c>
      <c r="B15" s="191">
        <f t="shared" si="1"/>
        <v>9</v>
      </c>
      <c r="C15" s="17" t="s">
        <v>41</v>
      </c>
      <c r="D15" s="28" t="s">
        <v>253</v>
      </c>
      <c r="E15" s="33" t="s">
        <v>42</v>
      </c>
      <c r="F15" s="129">
        <v>34206</v>
      </c>
      <c r="G15" s="129">
        <v>34668</v>
      </c>
      <c r="H15" s="39">
        <f t="shared" si="2"/>
        <v>462</v>
      </c>
      <c r="I15" s="46">
        <f>4182163224.1+1431601360.47</f>
        <v>5613764584.5699997</v>
      </c>
      <c r="J15" s="41">
        <v>1</v>
      </c>
      <c r="K15" s="113">
        <f t="shared" si="3"/>
        <v>5613764584.5699997</v>
      </c>
      <c r="L15" s="42">
        <f>+K15/831.27</f>
        <v>6753238.5200596675</v>
      </c>
      <c r="M15" s="189">
        <f>K15/98700</f>
        <v>56877.047462715294</v>
      </c>
    </row>
    <row r="16" spans="1:24" s="12" customFormat="1" ht="36">
      <c r="A16" s="11" t="e">
        <f>#REF!-1</f>
        <v>#REF!</v>
      </c>
      <c r="B16" s="191">
        <f t="shared" si="1"/>
        <v>10</v>
      </c>
      <c r="C16" s="17" t="s">
        <v>43</v>
      </c>
      <c r="D16" s="28" t="s">
        <v>253</v>
      </c>
      <c r="E16" s="33" t="s">
        <v>44</v>
      </c>
      <c r="F16" s="129">
        <v>34492</v>
      </c>
      <c r="G16" s="129">
        <v>34668</v>
      </c>
      <c r="H16" s="39">
        <f t="shared" si="2"/>
        <v>176</v>
      </c>
      <c r="I16" s="46">
        <f>1244666343+40786476</f>
        <v>1285452819</v>
      </c>
      <c r="J16" s="41">
        <v>1</v>
      </c>
      <c r="K16" s="113">
        <f t="shared" si="3"/>
        <v>1285452819</v>
      </c>
      <c r="L16" s="42">
        <f>+K16/831.27</f>
        <v>1546372.2003681115</v>
      </c>
      <c r="M16" s="189">
        <f>K16/98700</f>
        <v>13023.838085106383</v>
      </c>
    </row>
    <row r="17" spans="1:13" s="12" customFormat="1" ht="36">
      <c r="A17" s="11" t="e">
        <f>#REF!-1</f>
        <v>#REF!</v>
      </c>
      <c r="B17" s="191">
        <f t="shared" si="1"/>
        <v>11</v>
      </c>
      <c r="C17" s="17" t="s">
        <v>45</v>
      </c>
      <c r="D17" s="28" t="s">
        <v>254</v>
      </c>
      <c r="E17" s="33" t="s">
        <v>46</v>
      </c>
      <c r="F17" s="129">
        <v>34682</v>
      </c>
      <c r="G17" s="129">
        <v>34863</v>
      </c>
      <c r="H17" s="39">
        <f t="shared" si="2"/>
        <v>181</v>
      </c>
      <c r="I17" s="46">
        <f>1678033305+181424154</f>
        <v>1859457459</v>
      </c>
      <c r="J17" s="41">
        <v>1</v>
      </c>
      <c r="K17" s="113">
        <f t="shared" si="3"/>
        <v>1859457459</v>
      </c>
      <c r="L17" s="42">
        <f>+K17/987.65</f>
        <v>1882708.9140889992</v>
      </c>
      <c r="M17" s="189">
        <f>K17/118933.5</f>
        <v>15634.429820025476</v>
      </c>
    </row>
    <row r="18" spans="1:13" s="12" customFormat="1" ht="24">
      <c r="A18" s="11" t="e">
        <f t="shared" si="0"/>
        <v>#REF!</v>
      </c>
      <c r="B18" s="191">
        <f t="shared" si="1"/>
        <v>12</v>
      </c>
      <c r="C18" s="17" t="s">
        <v>47</v>
      </c>
      <c r="D18" s="28" t="s">
        <v>48</v>
      </c>
      <c r="E18" s="33" t="s">
        <v>49</v>
      </c>
      <c r="F18" s="129">
        <v>34683</v>
      </c>
      <c r="G18" s="129">
        <v>35353</v>
      </c>
      <c r="H18" s="39">
        <f t="shared" si="2"/>
        <v>670</v>
      </c>
      <c r="I18" s="45">
        <f>5337649273.6+1023142299.19</f>
        <v>6360791572.7900009</v>
      </c>
      <c r="J18" s="41">
        <v>1</v>
      </c>
      <c r="K18" s="113">
        <f t="shared" si="3"/>
        <v>6360791572.7900009</v>
      </c>
      <c r="L18" s="42">
        <f>+K18/987.65</f>
        <v>6440329.6438920684</v>
      </c>
      <c r="M18" s="189">
        <f>K18/142125</f>
        <v>44754.909922884792</v>
      </c>
    </row>
    <row r="19" spans="1:13" s="12" customFormat="1" ht="24">
      <c r="A19" s="11" t="e">
        <f t="shared" si="0"/>
        <v>#REF!</v>
      </c>
      <c r="B19" s="191">
        <f t="shared" si="1"/>
        <v>13</v>
      </c>
      <c r="C19" s="17" t="s">
        <v>50</v>
      </c>
      <c r="D19" s="28" t="s">
        <v>48</v>
      </c>
      <c r="E19" s="33" t="s">
        <v>51</v>
      </c>
      <c r="F19" s="129">
        <v>34698</v>
      </c>
      <c r="G19" s="129">
        <v>35734</v>
      </c>
      <c r="H19" s="39">
        <f t="shared" si="2"/>
        <v>1036</v>
      </c>
      <c r="I19" s="46">
        <v>7827678501</v>
      </c>
      <c r="J19" s="41">
        <v>1</v>
      </c>
      <c r="K19" s="113">
        <f t="shared" si="3"/>
        <v>7827678501</v>
      </c>
      <c r="L19" s="42">
        <f>+K19/987.65</f>
        <v>7925559.1565838102</v>
      </c>
      <c r="M19" s="189">
        <f>K19/172005</f>
        <v>45508.435807098627</v>
      </c>
    </row>
    <row r="20" spans="1:13" s="12" customFormat="1" ht="36">
      <c r="A20" s="11" t="e">
        <f>#REF!-1</f>
        <v>#REF!</v>
      </c>
      <c r="B20" s="191">
        <f t="shared" si="1"/>
        <v>14</v>
      </c>
      <c r="C20" s="327" t="s">
        <v>52</v>
      </c>
      <c r="D20" s="28" t="s">
        <v>39</v>
      </c>
      <c r="E20" s="33" t="s">
        <v>53</v>
      </c>
      <c r="F20" s="129">
        <v>34773</v>
      </c>
      <c r="G20" s="129">
        <v>35048</v>
      </c>
      <c r="H20" s="39">
        <f t="shared" si="2"/>
        <v>275</v>
      </c>
      <c r="I20" s="45">
        <v>3426856964.75</v>
      </c>
      <c r="J20" s="41">
        <v>1</v>
      </c>
      <c r="K20" s="113">
        <f t="shared" si="3"/>
        <v>3426856964.75</v>
      </c>
      <c r="L20" s="42">
        <f>+K20/987.65</f>
        <v>3469707.8567812485</v>
      </c>
      <c r="M20" s="189">
        <f>K20/118933.5</f>
        <v>28813.218855494877</v>
      </c>
    </row>
    <row r="21" spans="1:13" s="12" customFormat="1" ht="24">
      <c r="A21" s="11" t="e">
        <f>#REF!-1</f>
        <v>#REF!</v>
      </c>
      <c r="B21" s="191">
        <f t="shared" si="1"/>
        <v>15</v>
      </c>
      <c r="C21" s="17" t="s">
        <v>54</v>
      </c>
      <c r="D21" s="28" t="s">
        <v>48</v>
      </c>
      <c r="E21" s="33" t="s">
        <v>55</v>
      </c>
      <c r="F21" s="129">
        <v>34845</v>
      </c>
      <c r="G21" s="129">
        <v>35672</v>
      </c>
      <c r="H21" s="39">
        <f t="shared" si="2"/>
        <v>827</v>
      </c>
      <c r="I21" s="46">
        <f>5184184298+1152305448</f>
        <v>6336489746</v>
      </c>
      <c r="J21" s="41">
        <v>1</v>
      </c>
      <c r="K21" s="113">
        <f t="shared" si="3"/>
        <v>6336489746</v>
      </c>
      <c r="L21" s="42">
        <f>+K21/1005.33</f>
        <v>6302895.3139765048</v>
      </c>
      <c r="M21" s="189">
        <f>K21/172005</f>
        <v>36838.985762041804</v>
      </c>
    </row>
    <row r="22" spans="1:13" s="12" customFormat="1" ht="48">
      <c r="A22" s="11" t="e">
        <f t="shared" si="0"/>
        <v>#REF!</v>
      </c>
      <c r="B22" s="191">
        <f t="shared" si="1"/>
        <v>16</v>
      </c>
      <c r="C22" s="17" t="s">
        <v>56</v>
      </c>
      <c r="D22" s="28" t="s">
        <v>57</v>
      </c>
      <c r="E22" s="33" t="s">
        <v>58</v>
      </c>
      <c r="F22" s="129">
        <v>34895</v>
      </c>
      <c r="G22" s="129">
        <v>35261</v>
      </c>
      <c r="H22" s="39">
        <f t="shared" si="2"/>
        <v>366</v>
      </c>
      <c r="I22" s="46">
        <f>2169503767+1048206908</f>
        <v>3217710675</v>
      </c>
      <c r="J22" s="41">
        <v>1</v>
      </c>
      <c r="K22" s="113">
        <f t="shared" si="3"/>
        <v>3217710675</v>
      </c>
      <c r="L22" s="42">
        <f>+K22/1005.33</f>
        <v>3200651.2040822417</v>
      </c>
      <c r="M22" s="189">
        <f>K22/142125</f>
        <v>22640.004749340369</v>
      </c>
    </row>
    <row r="23" spans="1:13" s="12" customFormat="1" ht="36">
      <c r="A23" s="11" t="e">
        <f>#REF!-1</f>
        <v>#REF!</v>
      </c>
      <c r="B23" s="191">
        <f t="shared" si="1"/>
        <v>17</v>
      </c>
      <c r="C23" s="17" t="s">
        <v>59</v>
      </c>
      <c r="D23" s="28" t="s">
        <v>60</v>
      </c>
      <c r="E23" s="33" t="s">
        <v>61</v>
      </c>
      <c r="F23" s="129">
        <v>35025</v>
      </c>
      <c r="G23" s="129">
        <v>35826</v>
      </c>
      <c r="H23" s="39">
        <f t="shared" si="2"/>
        <v>801</v>
      </c>
      <c r="I23" s="45">
        <v>15477949088</v>
      </c>
      <c r="J23" s="41">
        <v>1</v>
      </c>
      <c r="K23" s="113">
        <f t="shared" si="3"/>
        <v>15477949088</v>
      </c>
      <c r="L23" s="42">
        <f>+K23/1293.58</f>
        <v>11965204.384730749</v>
      </c>
      <c r="M23" s="189">
        <f>K23/203826</f>
        <v>75937.069304210454</v>
      </c>
    </row>
    <row r="24" spans="1:13" s="12" customFormat="1" ht="36">
      <c r="A24" s="11" t="e">
        <f t="shared" si="0"/>
        <v>#REF!</v>
      </c>
      <c r="B24" s="191">
        <f t="shared" si="1"/>
        <v>18</v>
      </c>
      <c r="C24" s="327" t="s">
        <v>62</v>
      </c>
      <c r="D24" s="28" t="s">
        <v>39</v>
      </c>
      <c r="E24" s="33" t="s">
        <v>63</v>
      </c>
      <c r="F24" s="129">
        <v>35144</v>
      </c>
      <c r="G24" s="129">
        <v>35570</v>
      </c>
      <c r="H24" s="39">
        <f t="shared" si="2"/>
        <v>426</v>
      </c>
      <c r="I24" s="45">
        <f>4325882896+615296968</f>
        <v>4941179864</v>
      </c>
      <c r="J24" s="41">
        <v>1</v>
      </c>
      <c r="K24" s="113">
        <f t="shared" si="3"/>
        <v>4941179864</v>
      </c>
      <c r="L24" s="42">
        <f>+K24/1293.58</f>
        <v>3819771.3817467806</v>
      </c>
      <c r="M24" s="189">
        <f>K24/172005</f>
        <v>28726.954821080784</v>
      </c>
    </row>
    <row r="25" spans="1:13" s="12" customFormat="1" ht="36">
      <c r="A25" s="11" t="e">
        <f t="shared" si="0"/>
        <v>#REF!</v>
      </c>
      <c r="B25" s="191">
        <f t="shared" si="1"/>
        <v>19</v>
      </c>
      <c r="C25" s="327" t="s">
        <v>64</v>
      </c>
      <c r="D25" s="28" t="s">
        <v>39</v>
      </c>
      <c r="E25" s="33" t="s">
        <v>65</v>
      </c>
      <c r="F25" s="129">
        <v>35249</v>
      </c>
      <c r="G25" s="129">
        <v>35764</v>
      </c>
      <c r="H25" s="39">
        <f t="shared" si="2"/>
        <v>515</v>
      </c>
      <c r="I25" s="45">
        <v>5863427316</v>
      </c>
      <c r="J25" s="41">
        <v>0.5</v>
      </c>
      <c r="K25" s="113">
        <f t="shared" si="3"/>
        <v>2931713658</v>
      </c>
      <c r="L25" s="42">
        <f>+K25/1293.58</f>
        <v>2266356.6675427882</v>
      </c>
      <c r="M25" s="189">
        <f>K25/172005</f>
        <v>17044.351373506583</v>
      </c>
    </row>
    <row r="26" spans="1:13" s="12" customFormat="1" ht="36">
      <c r="A26" s="11" t="e">
        <f>#REF!-1</f>
        <v>#REF!</v>
      </c>
      <c r="B26" s="191">
        <f t="shared" si="1"/>
        <v>20</v>
      </c>
      <c r="C26" s="17" t="s">
        <v>71</v>
      </c>
      <c r="D26" s="28" t="s">
        <v>48</v>
      </c>
      <c r="E26" s="33" t="s">
        <v>72</v>
      </c>
      <c r="F26" s="129">
        <v>35738</v>
      </c>
      <c r="G26" s="129">
        <v>36222</v>
      </c>
      <c r="H26" s="39">
        <f t="shared" si="2"/>
        <v>484</v>
      </c>
      <c r="I26" s="46">
        <v>11011580392</v>
      </c>
      <c r="J26" s="41">
        <v>0.8</v>
      </c>
      <c r="K26" s="113">
        <f t="shared" si="3"/>
        <v>8809264313.6000004</v>
      </c>
      <c r="L26" s="42">
        <f>+K26/1542.11</f>
        <v>5712474.6701597171</v>
      </c>
      <c r="M26" s="189">
        <f>K26/236460</f>
        <v>37254.775918125692</v>
      </c>
    </row>
    <row r="27" spans="1:13" s="12" customFormat="1" ht="48">
      <c r="A27" s="11" t="e">
        <f>#REF!-1</f>
        <v>#REF!</v>
      </c>
      <c r="B27" s="191">
        <f t="shared" si="1"/>
        <v>21</v>
      </c>
      <c r="C27" s="17" t="s">
        <v>73</v>
      </c>
      <c r="D27" s="28" t="s">
        <v>67</v>
      </c>
      <c r="E27" s="33" t="s">
        <v>74</v>
      </c>
      <c r="F27" s="129">
        <v>36287</v>
      </c>
      <c r="G27" s="129">
        <v>36541</v>
      </c>
      <c r="H27" s="39">
        <f t="shared" si="2"/>
        <v>254</v>
      </c>
      <c r="I27" s="46">
        <v>3752972070</v>
      </c>
      <c r="J27" s="41">
        <v>0.6</v>
      </c>
      <c r="K27" s="113">
        <f t="shared" si="3"/>
        <v>2251783242</v>
      </c>
      <c r="L27" s="42">
        <f>+K27/2229.18</f>
        <v>1010139.7114634082</v>
      </c>
      <c r="M27" s="189">
        <f>K27/260100</f>
        <v>8657.3750173010376</v>
      </c>
    </row>
    <row r="28" spans="1:13" s="12" customFormat="1" ht="24">
      <c r="A28" s="11" t="e">
        <f t="shared" si="0"/>
        <v>#REF!</v>
      </c>
      <c r="B28" s="191">
        <f t="shared" si="1"/>
        <v>22</v>
      </c>
      <c r="C28" s="17" t="s">
        <v>75</v>
      </c>
      <c r="D28" s="28" t="s">
        <v>48</v>
      </c>
      <c r="E28" s="90" t="s">
        <v>255</v>
      </c>
      <c r="F28" s="129">
        <v>36495</v>
      </c>
      <c r="G28" s="129">
        <v>36707</v>
      </c>
      <c r="H28" s="39">
        <f t="shared" si="2"/>
        <v>212</v>
      </c>
      <c r="I28" s="46">
        <v>2184340930</v>
      </c>
      <c r="J28" s="41">
        <v>1</v>
      </c>
      <c r="K28" s="113">
        <f t="shared" si="3"/>
        <v>2184340930</v>
      </c>
      <c r="L28" s="42">
        <f>+K28/2229.18</f>
        <v>979885.39732098801</v>
      </c>
      <c r="M28" s="189">
        <f>K28/260100</f>
        <v>8398.0812379853905</v>
      </c>
    </row>
    <row r="29" spans="1:13" s="12" customFormat="1" ht="36">
      <c r="A29" s="13"/>
      <c r="B29" s="191">
        <f t="shared" si="1"/>
        <v>23</v>
      </c>
      <c r="C29" s="324" t="s">
        <v>76</v>
      </c>
      <c r="D29" s="53" t="s">
        <v>77</v>
      </c>
      <c r="E29" s="38" t="s">
        <v>78</v>
      </c>
      <c r="F29" s="131">
        <v>37648</v>
      </c>
      <c r="G29" s="131">
        <v>38044</v>
      </c>
      <c r="H29" s="39">
        <f t="shared" si="2"/>
        <v>396</v>
      </c>
      <c r="I29" s="40">
        <v>1496624960</v>
      </c>
      <c r="J29" s="41">
        <v>1</v>
      </c>
      <c r="K29" s="119">
        <v>1496624960</v>
      </c>
      <c r="L29" s="42">
        <f>+K29/2778.21</f>
        <v>538701.16369892843</v>
      </c>
      <c r="M29" s="189">
        <f>K29/332000</f>
        <v>4507.9065060240964</v>
      </c>
    </row>
    <row r="30" spans="1:13" s="12" customFormat="1" ht="48">
      <c r="A30" s="14"/>
      <c r="B30" s="191">
        <f t="shared" si="1"/>
        <v>24</v>
      </c>
      <c r="C30" s="324" t="s">
        <v>321</v>
      </c>
      <c r="D30" s="53" t="s">
        <v>84</v>
      </c>
      <c r="E30" s="38" t="s">
        <v>322</v>
      </c>
      <c r="F30" s="131">
        <v>38729</v>
      </c>
      <c r="G30" s="131">
        <v>39490</v>
      </c>
      <c r="H30" s="39">
        <f>G30-F30</f>
        <v>761</v>
      </c>
      <c r="I30" s="40">
        <v>4127289594</v>
      </c>
      <c r="J30" s="41">
        <v>1</v>
      </c>
      <c r="K30" s="119">
        <v>4127289594</v>
      </c>
      <c r="L30" s="42">
        <f>+K30/2014.76</f>
        <v>2048526.6701741151</v>
      </c>
      <c r="M30" s="189">
        <f>K30/433700</f>
        <v>9516.4620567212351</v>
      </c>
    </row>
    <row r="31" spans="1:13" s="12" customFormat="1" ht="36">
      <c r="A31" s="14"/>
      <c r="B31" s="191">
        <f t="shared" si="1"/>
        <v>25</v>
      </c>
      <c r="C31" s="108" t="s">
        <v>320</v>
      </c>
      <c r="D31" s="53" t="s">
        <v>319</v>
      </c>
      <c r="E31" s="38" t="s">
        <v>318</v>
      </c>
      <c r="F31" s="131">
        <v>38698</v>
      </c>
      <c r="G31" s="131">
        <v>39435</v>
      </c>
      <c r="H31" s="39">
        <f>G31-F31</f>
        <v>737</v>
      </c>
      <c r="I31" s="47">
        <f>6669706631*0.7</f>
        <v>4668794641.6999998</v>
      </c>
      <c r="J31" s="41">
        <v>1</v>
      </c>
      <c r="K31" s="119">
        <f>+I31</f>
        <v>4668794641.6999998</v>
      </c>
      <c r="L31" s="42">
        <f>+K31/2014.76</f>
        <v>2317295.6787408921</v>
      </c>
      <c r="M31" s="189">
        <f>K31/433700</f>
        <v>10765.032607101683</v>
      </c>
    </row>
    <row r="32" spans="1:13" s="12" customFormat="1" ht="25" thickBot="1">
      <c r="A32" s="14"/>
      <c r="B32" s="194">
        <f t="shared" si="1"/>
        <v>26</v>
      </c>
      <c r="C32" s="325" t="s">
        <v>87</v>
      </c>
      <c r="D32" s="226" t="s">
        <v>88</v>
      </c>
      <c r="E32" s="195" t="s">
        <v>89</v>
      </c>
      <c r="F32" s="197">
        <v>39925</v>
      </c>
      <c r="G32" s="197">
        <v>40180</v>
      </c>
      <c r="H32" s="198">
        <f>G32-F32</f>
        <v>255</v>
      </c>
      <c r="I32" s="262">
        <v>1280345983</v>
      </c>
      <c r="J32" s="260">
        <v>1</v>
      </c>
      <c r="K32" s="201">
        <v>1280345983</v>
      </c>
      <c r="L32" s="232">
        <f>+K32/2046.2</f>
        <v>625718.88525070867</v>
      </c>
      <c r="M32" s="233">
        <f>K32/496900</f>
        <v>2576.6673032803383</v>
      </c>
    </row>
    <row r="33" spans="1:25" s="12" customFormat="1">
      <c r="A33" s="14"/>
      <c r="B33" s="29"/>
      <c r="C33" s="328"/>
      <c r="D33" s="69"/>
      <c r="E33" s="68"/>
      <c r="F33" s="134"/>
      <c r="G33" s="134"/>
      <c r="H33" s="55"/>
      <c r="I33" s="56"/>
      <c r="J33" s="57"/>
      <c r="K33" s="121"/>
      <c r="L33" s="58"/>
      <c r="M33" s="59"/>
    </row>
    <row r="34" spans="1:25">
      <c r="A34" s="3"/>
      <c r="X34" s="7"/>
      <c r="Y34" s="4"/>
    </row>
    <row r="35" spans="1:25">
      <c r="A35" s="3"/>
      <c r="B35" s="186"/>
      <c r="C35" s="181"/>
      <c r="D35" s="181"/>
      <c r="E35"/>
      <c r="F35" s="181"/>
      <c r="G35" s="181"/>
      <c r="H35"/>
      <c r="I35"/>
      <c r="J35"/>
      <c r="K35" s="127"/>
    </row>
    <row r="36" spans="1:25">
      <c r="A36" s="3"/>
      <c r="B36" s="186"/>
      <c r="C36" s="181"/>
      <c r="D36" s="181"/>
      <c r="E36"/>
      <c r="F36" s="181"/>
      <c r="G36" s="181"/>
      <c r="H36"/>
      <c r="I36"/>
      <c r="J36"/>
      <c r="K36" s="127"/>
    </row>
    <row r="37" spans="1:25">
      <c r="A37" s="3"/>
      <c r="B37" s="186"/>
      <c r="C37" s="181"/>
      <c r="D37" s="181"/>
      <c r="E37"/>
      <c r="F37" s="181"/>
      <c r="G37" s="181"/>
      <c r="H37"/>
      <c r="I37"/>
      <c r="J37"/>
      <c r="K37" s="127"/>
    </row>
    <row r="38" spans="1:25">
      <c r="A38" s="3"/>
      <c r="B38" s="186"/>
      <c r="C38" s="181"/>
      <c r="D38" s="181"/>
      <c r="E38"/>
      <c r="F38" s="181"/>
      <c r="G38" s="181"/>
      <c r="H38"/>
      <c r="I38"/>
      <c r="J38"/>
      <c r="K38" s="127"/>
      <c r="L38" s="3"/>
      <c r="M38" s="3"/>
    </row>
    <row r="39" spans="1:25">
      <c r="A39" s="3"/>
      <c r="B39" s="186"/>
      <c r="C39" s="181"/>
      <c r="D39" s="181"/>
      <c r="E39"/>
      <c r="F39" s="181"/>
      <c r="G39" s="181"/>
      <c r="H39"/>
      <c r="I39"/>
      <c r="J39"/>
      <c r="K39" s="127"/>
      <c r="L39" s="3"/>
      <c r="M39" s="3"/>
    </row>
    <row r="40" spans="1:25">
      <c r="A40" s="3"/>
      <c r="B40" s="186"/>
      <c r="C40" s="181"/>
      <c r="D40" s="181"/>
      <c r="E40"/>
      <c r="F40" s="181"/>
      <c r="G40" s="181"/>
      <c r="H40"/>
      <c r="I40"/>
      <c r="J40"/>
      <c r="K40" s="127"/>
      <c r="L40" s="3"/>
      <c r="M40" s="3"/>
    </row>
    <row r="41" spans="1:25">
      <c r="A41" s="3"/>
      <c r="B41" s="186"/>
      <c r="C41" s="181"/>
      <c r="D41" s="181"/>
      <c r="E41"/>
      <c r="F41" s="181"/>
      <c r="G41" s="181"/>
      <c r="H41"/>
      <c r="I41"/>
      <c r="J41"/>
      <c r="K41" s="127"/>
      <c r="L41" s="3"/>
      <c r="M41" s="3"/>
    </row>
    <row r="42" spans="1:25">
      <c r="A42" s="3"/>
      <c r="B42" s="186"/>
      <c r="C42" s="181"/>
      <c r="D42" s="181"/>
      <c r="E42"/>
      <c r="F42" s="181"/>
      <c r="G42" s="181"/>
      <c r="H42"/>
      <c r="I42"/>
      <c r="J42"/>
      <c r="K42" s="127"/>
      <c r="L42" s="3"/>
      <c r="M42" s="3"/>
    </row>
    <row r="43" spans="1:25">
      <c r="A43" s="3"/>
      <c r="B43" s="186"/>
      <c r="C43" s="181"/>
      <c r="D43" s="181"/>
      <c r="E43"/>
      <c r="F43" s="181"/>
      <c r="G43" s="181"/>
      <c r="H43"/>
      <c r="I43"/>
      <c r="J43"/>
      <c r="K43" s="127"/>
      <c r="L43" s="3"/>
      <c r="M43" s="3"/>
    </row>
    <row r="44" spans="1:25">
      <c r="A44" s="3"/>
      <c r="B44" s="186"/>
      <c r="C44" s="181"/>
      <c r="D44" s="181"/>
      <c r="E44"/>
      <c r="F44" s="181"/>
      <c r="G44" s="181"/>
      <c r="H44"/>
      <c r="I44"/>
      <c r="J44"/>
      <c r="K44" s="127"/>
      <c r="L44" s="3"/>
      <c r="M44" s="3"/>
    </row>
    <row r="45" spans="1:25">
      <c r="A45" s="3"/>
      <c r="B45" s="186"/>
      <c r="C45" s="181"/>
      <c r="D45" s="181"/>
      <c r="E45"/>
      <c r="F45" s="181"/>
      <c r="G45" s="181"/>
      <c r="H45"/>
      <c r="I45"/>
      <c r="J45"/>
      <c r="K45" s="127"/>
      <c r="L45" s="3"/>
      <c r="M45" s="3"/>
    </row>
    <row r="46" spans="1:25">
      <c r="A46" s="3"/>
      <c r="B46" s="186"/>
      <c r="C46" s="181"/>
      <c r="D46" s="181"/>
      <c r="E46"/>
      <c r="F46" s="181"/>
      <c r="G46" s="181"/>
      <c r="H46"/>
      <c r="I46"/>
      <c r="J46"/>
      <c r="K46" s="127"/>
      <c r="L46" s="3"/>
      <c r="M46" s="3"/>
    </row>
  </sheetData>
  <sheetProtection password="C23C" sheet="1" objects="1" scenarios="1" selectLockedCells="1" selectUnlockedCells="1"/>
  <mergeCells count="2">
    <mergeCell ref="C4:K4"/>
    <mergeCell ref="C5:K5"/>
  </mergeCells>
  <phoneticPr fontId="18" type="noConversion"/>
  <pageMargins left="0.75000000000000011" right="0.75000000000000011" top="1" bottom="1" header="0.5" footer="0.5"/>
  <pageSetup scale="62" orientation="portrait" horizontalDpi="4294967292" verticalDpi="4294967292"/>
  <extLst>
    <ext xmlns:mx="http://schemas.microsoft.com/office/mac/excel/2008/main" uri="{64002731-A6B0-56B0-2670-7721B7C09600}">
      <mx:PLV Mode="0" OnePage="0" WScale="10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N29"/>
  <sheetViews>
    <sheetView topLeftCell="B1" workbookViewId="0">
      <selection activeCell="B1" sqref="B1"/>
    </sheetView>
  </sheetViews>
  <sheetFormatPr baseColWidth="10" defaultRowHeight="15" x14ac:dyDescent="0"/>
  <cols>
    <col min="1" max="1" width="1.33203125" style="1" hidden="1" customWidth="1"/>
    <col min="2" max="2" width="4.33203125" style="184" customWidth="1"/>
    <col min="3" max="3" width="15.83203125" style="333" customWidth="1"/>
    <col min="4" max="4" width="20.83203125" style="15" customWidth="1"/>
    <col min="5" max="5" width="40.83203125" style="3" customWidth="1"/>
    <col min="6" max="7" width="10.83203125" style="144" customWidth="1"/>
    <col min="8" max="8" width="8.1640625" style="6" hidden="1" customWidth="1"/>
    <col min="9" max="9" width="14.5" style="4" hidden="1" customWidth="1"/>
    <col min="10" max="10" width="9.83203125" style="7" hidden="1" customWidth="1"/>
    <col min="11" max="11" width="15.83203125" style="117" customWidth="1"/>
    <col min="12" max="12" width="15.33203125" style="4" hidden="1" customWidth="1"/>
    <col min="13" max="13" width="15.83203125" style="7" customWidth="1"/>
    <col min="14" max="16384" width="10.83203125" style="3"/>
  </cols>
  <sheetData>
    <row r="1" spans="1:14" s="12" customFormat="1">
      <c r="A1" s="14"/>
      <c r="B1" s="29"/>
      <c r="C1" s="328"/>
      <c r="D1" s="69"/>
      <c r="E1" s="68"/>
      <c r="F1" s="134"/>
      <c r="G1" s="134"/>
      <c r="H1" s="55"/>
      <c r="I1" s="56"/>
      <c r="J1" s="57"/>
      <c r="K1" s="121"/>
      <c r="L1" s="58"/>
      <c r="M1" s="59"/>
    </row>
    <row r="2" spans="1:14" s="12" customFormat="1" ht="18">
      <c r="A2" s="14"/>
      <c r="B2" s="182"/>
      <c r="C2" s="331"/>
      <c r="D2" s="75"/>
      <c r="E2" s="78" t="s">
        <v>0</v>
      </c>
      <c r="F2" s="234"/>
      <c r="G2" s="235"/>
      <c r="H2" s="79"/>
      <c r="I2" s="80"/>
      <c r="J2" s="81"/>
      <c r="K2" s="116"/>
      <c r="L2" s="80"/>
      <c r="M2" s="82"/>
    </row>
    <row r="3" spans="1:14" s="12" customFormat="1" ht="18">
      <c r="A3" s="14"/>
      <c r="B3" s="182"/>
      <c r="C3" s="181"/>
      <c r="D3" s="75"/>
      <c r="E3" s="78" t="s">
        <v>256</v>
      </c>
      <c r="F3" s="234"/>
      <c r="G3" s="235"/>
      <c r="H3" s="79"/>
      <c r="I3" s="80"/>
      <c r="J3" s="81"/>
      <c r="K3" s="116"/>
      <c r="L3" s="80"/>
      <c r="M3" s="82"/>
    </row>
    <row r="4" spans="1:14" s="12" customFormat="1">
      <c r="A4" s="14"/>
      <c r="B4" s="29"/>
      <c r="C4" s="328"/>
      <c r="D4" s="69"/>
      <c r="E4" s="68"/>
      <c r="F4" s="134"/>
      <c r="G4" s="134"/>
      <c r="H4" s="55"/>
      <c r="I4" s="56"/>
      <c r="J4" s="57"/>
      <c r="K4" s="121"/>
      <c r="L4" s="58"/>
      <c r="M4" s="59"/>
    </row>
    <row r="5" spans="1:14" s="12" customFormat="1" ht="23">
      <c r="A5" s="14"/>
      <c r="B5" s="29"/>
      <c r="C5" s="344" t="s">
        <v>388</v>
      </c>
      <c r="D5" s="344"/>
      <c r="E5" s="344"/>
      <c r="F5" s="344"/>
      <c r="G5" s="344"/>
      <c r="H5" s="344"/>
      <c r="I5" s="344"/>
      <c r="J5" s="344"/>
      <c r="K5" s="344"/>
      <c r="L5" s="58"/>
      <c r="M5" s="59"/>
    </row>
    <row r="6" spans="1:14" s="12" customFormat="1" ht="23">
      <c r="A6" s="14"/>
      <c r="B6" s="69"/>
      <c r="C6" s="344" t="s">
        <v>389</v>
      </c>
      <c r="D6" s="344"/>
      <c r="E6" s="344"/>
      <c r="F6" s="344"/>
      <c r="G6" s="344"/>
      <c r="H6" s="344"/>
      <c r="I6" s="344"/>
      <c r="J6" s="344"/>
      <c r="K6" s="344"/>
      <c r="L6" s="54"/>
      <c r="M6" s="69"/>
    </row>
    <row r="7" spans="1:14" s="12" customFormat="1" ht="24" thickBot="1">
      <c r="A7" s="14"/>
      <c r="B7" s="69"/>
      <c r="C7" s="43"/>
      <c r="D7" s="43"/>
      <c r="E7" s="43"/>
      <c r="F7" s="43"/>
      <c r="G7" s="43"/>
      <c r="H7" s="43"/>
      <c r="I7" s="43"/>
      <c r="J7" s="43"/>
      <c r="K7" s="43"/>
      <c r="L7" s="54"/>
      <c r="M7" s="69"/>
    </row>
    <row r="8" spans="1:14" s="12" customFormat="1" ht="46" thickBot="1">
      <c r="A8" s="14"/>
      <c r="B8" s="211" t="s">
        <v>1</v>
      </c>
      <c r="C8" s="321" t="s">
        <v>2</v>
      </c>
      <c r="D8" s="212" t="s">
        <v>3</v>
      </c>
      <c r="E8" s="212" t="s">
        <v>4</v>
      </c>
      <c r="F8" s="213" t="s">
        <v>5</v>
      </c>
      <c r="G8" s="213" t="s">
        <v>6</v>
      </c>
      <c r="H8" s="214" t="s">
        <v>7</v>
      </c>
      <c r="I8" s="215" t="s">
        <v>8</v>
      </c>
      <c r="J8" s="215" t="s">
        <v>9</v>
      </c>
      <c r="K8" s="216" t="s">
        <v>250</v>
      </c>
      <c r="L8" s="215" t="s">
        <v>10</v>
      </c>
      <c r="M8" s="217" t="s">
        <v>11</v>
      </c>
    </row>
    <row r="9" spans="1:14" s="12" customFormat="1" ht="24">
      <c r="A9" s="14"/>
      <c r="B9" s="263">
        <v>1</v>
      </c>
      <c r="C9" s="278" t="s">
        <v>29</v>
      </c>
      <c r="D9" s="137" t="s">
        <v>30</v>
      </c>
      <c r="E9" s="249" t="s">
        <v>31</v>
      </c>
      <c r="F9" s="250">
        <v>33057</v>
      </c>
      <c r="G9" s="250">
        <v>33208</v>
      </c>
      <c r="H9" s="220">
        <f t="shared" ref="H9:H14" si="0">G9-F9</f>
        <v>151</v>
      </c>
      <c r="I9" s="261">
        <v>240230300</v>
      </c>
      <c r="J9" s="222">
        <v>1</v>
      </c>
      <c r="K9" s="251">
        <f>I9*J9</f>
        <v>240230300</v>
      </c>
      <c r="L9" s="223">
        <f>+K9/568.73</f>
        <v>422397.79860390694</v>
      </c>
      <c r="M9" s="210">
        <f>K9/41025</f>
        <v>5855.7050578915296</v>
      </c>
    </row>
    <row r="10" spans="1:14" s="12" customFormat="1" ht="24">
      <c r="A10" s="14"/>
      <c r="B10" s="190">
        <v>2</v>
      </c>
      <c r="C10" s="53" t="s">
        <v>121</v>
      </c>
      <c r="D10" s="53" t="s">
        <v>122</v>
      </c>
      <c r="E10" s="38" t="s">
        <v>123</v>
      </c>
      <c r="F10" s="129">
        <v>35612</v>
      </c>
      <c r="G10" s="129">
        <v>35764</v>
      </c>
      <c r="H10" s="39">
        <f t="shared" si="0"/>
        <v>152</v>
      </c>
      <c r="I10" s="91">
        <v>172005</v>
      </c>
      <c r="J10" s="92">
        <v>0.4</v>
      </c>
      <c r="K10" s="122">
        <v>849117200</v>
      </c>
      <c r="L10" s="93"/>
      <c r="M10" s="269">
        <v>4936.58</v>
      </c>
      <c r="N10" s="16"/>
    </row>
    <row r="11" spans="1:14" s="12" customFormat="1" ht="48">
      <c r="A11" s="14"/>
      <c r="B11" s="191">
        <v>3</v>
      </c>
      <c r="C11" s="17" t="s">
        <v>66</v>
      </c>
      <c r="D11" s="28" t="s">
        <v>67</v>
      </c>
      <c r="E11" s="33" t="s">
        <v>68</v>
      </c>
      <c r="F11" s="129">
        <v>35601</v>
      </c>
      <c r="G11" s="129">
        <v>35934</v>
      </c>
      <c r="H11" s="39">
        <f t="shared" si="0"/>
        <v>333</v>
      </c>
      <c r="I11" s="46">
        <f>3226340335+685453915</f>
        <v>3911794250</v>
      </c>
      <c r="J11" s="41">
        <v>0.5</v>
      </c>
      <c r="K11" s="113">
        <f>I11*J11</f>
        <v>1955897125</v>
      </c>
      <c r="L11" s="42">
        <f>+K11/1542.11</f>
        <v>1268325.2978062525</v>
      </c>
      <c r="M11" s="189">
        <f>K11/203826</f>
        <v>9595.9157565766873</v>
      </c>
    </row>
    <row r="12" spans="1:14" s="12" customFormat="1" ht="36">
      <c r="A12" s="14"/>
      <c r="B12" s="191">
        <v>4</v>
      </c>
      <c r="C12" s="17" t="s">
        <v>69</v>
      </c>
      <c r="D12" s="28" t="s">
        <v>246</v>
      </c>
      <c r="E12" s="33" t="s">
        <v>70</v>
      </c>
      <c r="F12" s="129">
        <v>35655</v>
      </c>
      <c r="G12" s="129">
        <v>36240</v>
      </c>
      <c r="H12" s="39">
        <f t="shared" si="0"/>
        <v>585</v>
      </c>
      <c r="I12" s="46">
        <v>9074962425</v>
      </c>
      <c r="J12" s="41">
        <v>0.33329999999999999</v>
      </c>
      <c r="K12" s="113">
        <f>I12*J12</f>
        <v>3024684976.2525001</v>
      </c>
      <c r="L12" s="42">
        <f>+K12/1542.11</f>
        <v>1961393.7891930537</v>
      </c>
      <c r="M12" s="189">
        <f>K12/236460</f>
        <v>12791.529122272266</v>
      </c>
    </row>
    <row r="13" spans="1:14" s="12" customFormat="1" ht="36">
      <c r="A13" s="14"/>
      <c r="B13" s="191">
        <v>5</v>
      </c>
      <c r="C13" s="324" t="s">
        <v>79</v>
      </c>
      <c r="D13" s="53" t="s">
        <v>247</v>
      </c>
      <c r="E13" s="38" t="s">
        <v>80</v>
      </c>
      <c r="F13" s="131">
        <v>37796</v>
      </c>
      <c r="G13" s="131">
        <v>37985</v>
      </c>
      <c r="H13" s="39">
        <f t="shared" si="0"/>
        <v>189</v>
      </c>
      <c r="I13" s="40">
        <v>2215983301</v>
      </c>
      <c r="J13" s="41">
        <v>1</v>
      </c>
      <c r="K13" s="119">
        <v>2215983301</v>
      </c>
      <c r="L13" s="42">
        <f>+K13/2778.21</f>
        <v>797629.87715111533</v>
      </c>
      <c r="M13" s="189">
        <f>K13/332000</f>
        <v>6674.6484969879521</v>
      </c>
    </row>
    <row r="14" spans="1:14" s="12" customFormat="1" ht="24">
      <c r="A14" s="14"/>
      <c r="B14" s="190">
        <v>6</v>
      </c>
      <c r="C14" s="53" t="s">
        <v>157</v>
      </c>
      <c r="D14" s="53" t="s">
        <v>158</v>
      </c>
      <c r="E14" s="38" t="s">
        <v>159</v>
      </c>
      <c r="F14" s="131">
        <v>39021</v>
      </c>
      <c r="G14" s="131">
        <v>39763</v>
      </c>
      <c r="H14" s="48">
        <f t="shared" si="0"/>
        <v>742</v>
      </c>
      <c r="I14" s="49">
        <v>1732678409</v>
      </c>
      <c r="J14" s="50">
        <v>1</v>
      </c>
      <c r="K14" s="51">
        <f>+I14</f>
        <v>1732678409</v>
      </c>
      <c r="L14" s="94"/>
      <c r="M14" s="270">
        <v>3754.45</v>
      </c>
    </row>
    <row r="15" spans="1:14" ht="36">
      <c r="B15" s="191">
        <v>7</v>
      </c>
      <c r="C15" s="324" t="s">
        <v>85</v>
      </c>
      <c r="D15" s="53" t="s">
        <v>86</v>
      </c>
      <c r="E15" s="38" t="s">
        <v>225</v>
      </c>
      <c r="F15" s="131">
        <v>39651</v>
      </c>
      <c r="G15" s="131">
        <v>39843</v>
      </c>
      <c r="H15" s="39">
        <f t="shared" ref="H15" si="1">G15-F15</f>
        <v>192</v>
      </c>
      <c r="I15" s="40">
        <v>2131255148</v>
      </c>
      <c r="J15" s="41">
        <v>1</v>
      </c>
      <c r="K15" s="119">
        <v>2131255148</v>
      </c>
      <c r="L15" s="42">
        <f>+K15/2243.59</f>
        <v>949930.75740219909</v>
      </c>
      <c r="M15" s="189">
        <f>K15/461500</f>
        <v>4618.10432936078</v>
      </c>
    </row>
    <row r="16" spans="1:14" ht="24">
      <c r="B16" s="191">
        <v>8</v>
      </c>
      <c r="C16" s="324" t="s">
        <v>90</v>
      </c>
      <c r="D16" s="94" t="s">
        <v>91</v>
      </c>
      <c r="E16" s="38" t="s">
        <v>99</v>
      </c>
      <c r="F16" s="131">
        <v>40906</v>
      </c>
      <c r="G16" s="131">
        <v>41253</v>
      </c>
      <c r="H16" s="39">
        <f>G16-F16</f>
        <v>347</v>
      </c>
      <c r="I16" s="40">
        <v>2928291962</v>
      </c>
      <c r="J16" s="41">
        <v>1</v>
      </c>
      <c r="K16" s="113">
        <f>I16*J16</f>
        <v>2928291962</v>
      </c>
      <c r="L16" s="42">
        <f>+K16/2046.2</f>
        <v>1431087.8516274069</v>
      </c>
      <c r="M16" s="189">
        <f>K16/496900</f>
        <v>5893.1212759106456</v>
      </c>
    </row>
    <row r="17" spans="1:13" ht="24">
      <c r="B17" s="190">
        <v>9</v>
      </c>
      <c r="C17" s="53" t="s">
        <v>235</v>
      </c>
      <c r="D17" s="53" t="s">
        <v>233</v>
      </c>
      <c r="E17" s="38" t="s">
        <v>236</v>
      </c>
      <c r="F17" s="131">
        <v>40573</v>
      </c>
      <c r="G17" s="131">
        <v>40938</v>
      </c>
      <c r="H17" s="39">
        <f t="shared" ref="H17:H18" si="2">G17-F17</f>
        <v>365</v>
      </c>
      <c r="I17" s="52">
        <v>566700</v>
      </c>
      <c r="J17" s="95"/>
      <c r="K17" s="119">
        <v>3244500000</v>
      </c>
      <c r="L17" s="96"/>
      <c r="M17" s="271">
        <v>5725.25</v>
      </c>
    </row>
    <row r="18" spans="1:13" ht="25" thickBot="1">
      <c r="B18" s="272">
        <v>10</v>
      </c>
      <c r="C18" s="196" t="s">
        <v>244</v>
      </c>
      <c r="D18" s="196" t="s">
        <v>233</v>
      </c>
      <c r="E18" s="195" t="s">
        <v>245</v>
      </c>
      <c r="F18" s="197">
        <v>43250</v>
      </c>
      <c r="G18" s="197">
        <v>43615</v>
      </c>
      <c r="H18" s="198">
        <f t="shared" si="2"/>
        <v>365</v>
      </c>
      <c r="I18" s="199">
        <v>828116</v>
      </c>
      <c r="J18" s="200"/>
      <c r="K18" s="201">
        <v>3811500000</v>
      </c>
      <c r="L18" s="202"/>
      <c r="M18" s="273">
        <v>4602.62</v>
      </c>
    </row>
    <row r="19" spans="1:13" ht="4" customHeight="1">
      <c r="B19" s="162"/>
      <c r="C19" s="162"/>
      <c r="D19" s="162"/>
      <c r="E19" s="163"/>
      <c r="F19" s="164"/>
      <c r="G19" s="164"/>
      <c r="H19" s="220"/>
      <c r="I19" s="265"/>
      <c r="J19" s="266"/>
      <c r="K19" s="148"/>
      <c r="L19" s="267"/>
      <c r="M19" s="268"/>
    </row>
    <row r="20" spans="1:13">
      <c r="A20" s="3"/>
      <c r="B20" s="186"/>
      <c r="C20" s="181"/>
      <c r="D20" s="181"/>
      <c r="E20"/>
      <c r="F20" s="181"/>
      <c r="G20" s="181"/>
      <c r="H20"/>
      <c r="I20"/>
      <c r="J20"/>
      <c r="K20" s="127"/>
    </row>
    <row r="21" spans="1:13">
      <c r="A21" s="3"/>
      <c r="B21" s="186"/>
      <c r="C21" s="181"/>
      <c r="D21" s="181"/>
      <c r="E21"/>
      <c r="F21" s="181"/>
      <c r="G21" s="181"/>
      <c r="H21"/>
      <c r="I21"/>
      <c r="J21"/>
      <c r="K21" s="127"/>
      <c r="L21" s="3"/>
      <c r="M21" s="3"/>
    </row>
    <row r="22" spans="1:13">
      <c r="A22" s="3"/>
      <c r="B22" s="186"/>
      <c r="C22" s="181"/>
      <c r="D22" s="181"/>
      <c r="E22"/>
      <c r="F22" s="181"/>
      <c r="G22" s="181"/>
      <c r="H22"/>
      <c r="I22"/>
      <c r="J22"/>
      <c r="K22" s="127"/>
      <c r="L22" s="3"/>
      <c r="M22" s="3"/>
    </row>
    <row r="23" spans="1:13">
      <c r="A23" s="3"/>
      <c r="B23" s="186"/>
      <c r="C23" s="181"/>
      <c r="D23" s="181"/>
      <c r="E23"/>
      <c r="F23" s="181"/>
      <c r="G23" s="181"/>
      <c r="H23"/>
      <c r="I23"/>
      <c r="J23"/>
      <c r="K23" s="127"/>
      <c r="L23" s="3"/>
      <c r="M23" s="3"/>
    </row>
    <row r="24" spans="1:13">
      <c r="A24" s="3"/>
      <c r="B24" s="186"/>
      <c r="C24" s="181"/>
      <c r="D24" s="181"/>
      <c r="E24"/>
      <c r="F24" s="181"/>
      <c r="G24" s="181"/>
      <c r="H24"/>
      <c r="I24"/>
      <c r="J24"/>
      <c r="K24" s="127"/>
      <c r="L24" s="3"/>
      <c r="M24" s="3"/>
    </row>
    <row r="25" spans="1:13">
      <c r="A25" s="3"/>
      <c r="B25" s="186"/>
      <c r="C25" s="181"/>
      <c r="D25" s="181"/>
      <c r="E25"/>
      <c r="F25" s="181"/>
      <c r="G25" s="181"/>
      <c r="H25"/>
      <c r="I25"/>
      <c r="J25"/>
      <c r="K25" s="127"/>
      <c r="L25" s="3"/>
      <c r="M25" s="3"/>
    </row>
    <row r="26" spans="1:13">
      <c r="A26" s="3"/>
      <c r="B26" s="186"/>
      <c r="C26" s="181"/>
      <c r="D26" s="181"/>
      <c r="E26"/>
      <c r="F26" s="181"/>
      <c r="G26" s="181"/>
      <c r="H26"/>
      <c r="I26"/>
      <c r="J26"/>
      <c r="K26" s="127"/>
      <c r="L26" s="3"/>
      <c r="M26" s="3"/>
    </row>
    <row r="27" spans="1:13">
      <c r="A27" s="3"/>
      <c r="B27" s="186"/>
      <c r="C27" s="181"/>
      <c r="D27" s="181"/>
      <c r="E27"/>
      <c r="F27" s="181"/>
      <c r="G27" s="181"/>
      <c r="H27"/>
      <c r="I27"/>
      <c r="J27"/>
      <c r="K27" s="127"/>
      <c r="L27" s="3"/>
      <c r="M27" s="3"/>
    </row>
    <row r="28" spans="1:13">
      <c r="A28" s="3"/>
      <c r="B28" s="186"/>
      <c r="C28" s="181"/>
      <c r="D28" s="181"/>
      <c r="E28"/>
      <c r="F28" s="181"/>
      <c r="G28" s="181"/>
      <c r="H28"/>
      <c r="I28"/>
      <c r="J28"/>
      <c r="K28" s="127"/>
      <c r="L28" s="3"/>
      <c r="M28" s="3"/>
    </row>
    <row r="29" spans="1:13">
      <c r="A29" s="3"/>
      <c r="B29" s="186"/>
      <c r="C29" s="181"/>
      <c r="D29" s="181"/>
      <c r="E29"/>
      <c r="F29" s="181"/>
      <c r="G29" s="181"/>
      <c r="H29"/>
      <c r="I29"/>
      <c r="J29"/>
      <c r="K29" s="127"/>
      <c r="L29" s="3"/>
      <c r="M29" s="3"/>
    </row>
  </sheetData>
  <sheetProtection password="C23C" sheet="1" objects="1" scenarios="1" selectLockedCells="1" selectUnlockedCells="1"/>
  <mergeCells count="2">
    <mergeCell ref="C5:K5"/>
    <mergeCell ref="C6:K6"/>
  </mergeCells>
  <phoneticPr fontId="18" type="noConversion"/>
  <pageMargins left="0.75000000000000011" right="0.75000000000000011" top="1" bottom="1" header="0.5" footer="0.5"/>
  <pageSetup scale="62" orientation="portrait" horizontalDpi="4294967292" verticalDpi="4294967292"/>
  <extLst>
    <ext xmlns:mx="http://schemas.microsoft.com/office/mac/excel/2008/main" uri="{64002731-A6B0-56B0-2670-7721B7C09600}">
      <mx:PLV Mode="0" OnePage="0" WScale="10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AB40"/>
  <sheetViews>
    <sheetView topLeftCell="B1" workbookViewId="0">
      <selection activeCell="B1" sqref="B1"/>
    </sheetView>
  </sheetViews>
  <sheetFormatPr baseColWidth="10" defaultRowHeight="15" x14ac:dyDescent="0"/>
  <cols>
    <col min="1" max="1" width="1.33203125" style="1" hidden="1" customWidth="1"/>
    <col min="2" max="2" width="4.33203125" style="184" customWidth="1"/>
    <col min="3" max="3" width="15.83203125" style="333" customWidth="1"/>
    <col min="4" max="4" width="20.83203125" style="15" customWidth="1"/>
    <col min="5" max="5" width="40.83203125" style="3" customWidth="1"/>
    <col min="6" max="7" width="10.83203125" style="144" customWidth="1"/>
    <col min="8" max="8" width="8.1640625" style="6" hidden="1" customWidth="1"/>
    <col min="9" max="9" width="14.5" style="4" hidden="1" customWidth="1"/>
    <col min="10" max="10" width="9.83203125" style="7" hidden="1" customWidth="1"/>
    <col min="11" max="11" width="15.83203125" style="117" customWidth="1"/>
    <col min="12" max="12" width="15.33203125" style="4" hidden="1" customWidth="1"/>
    <col min="13" max="13" width="15.83203125" style="7" customWidth="1"/>
    <col min="14" max="16384" width="10.83203125" style="3"/>
  </cols>
  <sheetData>
    <row r="1" spans="1:28" ht="23" customHeight="1"/>
    <row r="2" spans="1:28" ht="18">
      <c r="B2" s="182"/>
      <c r="C2" s="331"/>
      <c r="D2" s="75"/>
      <c r="E2" s="78" t="s">
        <v>0</v>
      </c>
      <c r="H2" s="79"/>
      <c r="I2" s="80"/>
      <c r="J2" s="81"/>
      <c r="K2" s="116"/>
      <c r="L2" s="80"/>
      <c r="M2" s="82"/>
    </row>
    <row r="3" spans="1:28" ht="18">
      <c r="B3" s="182"/>
      <c r="C3" s="331"/>
      <c r="D3" s="75"/>
      <c r="E3" s="78" t="s">
        <v>256</v>
      </c>
      <c r="H3" s="79"/>
      <c r="I3" s="80"/>
      <c r="J3" s="81"/>
      <c r="K3" s="116"/>
      <c r="L3" s="80"/>
      <c r="M3" s="82"/>
    </row>
    <row r="4" spans="1:28" s="10" customFormat="1" ht="20" customHeight="1">
      <c r="A4" s="8"/>
      <c r="B4" s="183"/>
      <c r="C4" s="332"/>
      <c r="D4" s="83"/>
      <c r="E4" s="85"/>
      <c r="F4" s="236"/>
      <c r="G4" s="236"/>
      <c r="H4" s="86"/>
      <c r="I4" s="9"/>
      <c r="J4" s="9"/>
      <c r="K4" s="115"/>
      <c r="L4" s="9"/>
      <c r="M4" s="9"/>
      <c r="O4"/>
      <c r="P4"/>
      <c r="Q4"/>
      <c r="R4"/>
      <c r="S4"/>
      <c r="T4"/>
      <c r="U4"/>
      <c r="V4"/>
      <c r="W4"/>
      <c r="X4"/>
      <c r="Y4"/>
      <c r="Z4"/>
      <c r="AA4"/>
      <c r="AB4"/>
    </row>
    <row r="5" spans="1:28" s="10" customFormat="1" ht="23">
      <c r="A5" s="85"/>
      <c r="B5" s="183"/>
      <c r="C5" s="344" t="s">
        <v>386</v>
      </c>
      <c r="D5" s="344"/>
      <c r="E5" s="344"/>
      <c r="F5" s="344"/>
      <c r="G5" s="344"/>
      <c r="H5" s="344"/>
      <c r="I5" s="344"/>
      <c r="J5" s="344"/>
      <c r="K5" s="344"/>
      <c r="L5" s="9"/>
      <c r="M5" s="9"/>
      <c r="O5"/>
      <c r="P5"/>
      <c r="Q5"/>
      <c r="R5"/>
      <c r="S5"/>
      <c r="T5"/>
      <c r="U5"/>
      <c r="V5"/>
      <c r="W5"/>
      <c r="X5"/>
      <c r="Y5"/>
      <c r="Z5"/>
      <c r="AA5"/>
      <c r="AB5"/>
    </row>
    <row r="6" spans="1:28" ht="23">
      <c r="B6" s="29"/>
      <c r="C6" s="344" t="s">
        <v>387</v>
      </c>
      <c r="D6" s="344"/>
      <c r="E6" s="344"/>
      <c r="F6" s="344"/>
      <c r="G6" s="344"/>
      <c r="H6" s="344"/>
      <c r="I6" s="344"/>
      <c r="J6" s="344"/>
      <c r="K6" s="344"/>
      <c r="L6" s="58"/>
      <c r="M6" s="59"/>
    </row>
    <row r="7" spans="1:28" ht="24" thickBot="1">
      <c r="B7" s="29"/>
      <c r="C7" s="43"/>
      <c r="D7" s="43"/>
      <c r="E7" s="43"/>
      <c r="F7" s="43"/>
      <c r="G7" s="43"/>
      <c r="H7" s="43"/>
      <c r="I7" s="43"/>
      <c r="J7" s="43"/>
      <c r="K7" s="43"/>
      <c r="L7" s="58"/>
      <c r="M7" s="59"/>
    </row>
    <row r="8" spans="1:28" ht="47" customHeight="1" thickBot="1">
      <c r="B8" s="211" t="s">
        <v>1</v>
      </c>
      <c r="C8" s="321" t="s">
        <v>2</v>
      </c>
      <c r="D8" s="212" t="s">
        <v>3</v>
      </c>
      <c r="E8" s="212" t="s">
        <v>4</v>
      </c>
      <c r="F8" s="213" t="s">
        <v>5</v>
      </c>
      <c r="G8" s="213" t="s">
        <v>6</v>
      </c>
      <c r="H8" s="214" t="s">
        <v>7</v>
      </c>
      <c r="I8" s="215" t="s">
        <v>8</v>
      </c>
      <c r="J8" s="215" t="s">
        <v>9</v>
      </c>
      <c r="K8" s="216" t="s">
        <v>250</v>
      </c>
      <c r="L8" s="215" t="s">
        <v>10</v>
      </c>
      <c r="M8" s="217" t="s">
        <v>11</v>
      </c>
    </row>
    <row r="9" spans="1:28" ht="36">
      <c r="B9" s="263">
        <v>1</v>
      </c>
      <c r="C9" s="329" t="s">
        <v>38</v>
      </c>
      <c r="D9" s="137" t="s">
        <v>39</v>
      </c>
      <c r="E9" s="249" t="s">
        <v>96</v>
      </c>
      <c r="F9" s="250">
        <v>34043</v>
      </c>
      <c r="G9" s="250">
        <v>34349</v>
      </c>
      <c r="H9" s="220">
        <f>G9-F9</f>
        <v>306</v>
      </c>
      <c r="I9" s="221">
        <f>1015211204+218737357</f>
        <v>1233948561</v>
      </c>
      <c r="J9" s="222">
        <v>1</v>
      </c>
      <c r="K9" s="251">
        <f>I9*J9*0.1</f>
        <v>123394856.10000001</v>
      </c>
      <c r="L9" s="223">
        <f>+K9/831.27</f>
        <v>148441.3681475333</v>
      </c>
      <c r="M9" s="210">
        <f>K9/98700</f>
        <v>1250.2011762917934</v>
      </c>
    </row>
    <row r="10" spans="1:28" ht="36">
      <c r="B10" s="191">
        <v>2</v>
      </c>
      <c r="C10" s="17" t="s">
        <v>59</v>
      </c>
      <c r="D10" s="28" t="s">
        <v>60</v>
      </c>
      <c r="E10" s="33" t="s">
        <v>97</v>
      </c>
      <c r="F10" s="129">
        <v>35025</v>
      </c>
      <c r="G10" s="129">
        <v>35826</v>
      </c>
      <c r="H10" s="39">
        <f t="shared" ref="H10:H14" si="0">G10-F10</f>
        <v>801</v>
      </c>
      <c r="I10" s="45">
        <v>15477949088</v>
      </c>
      <c r="J10" s="41">
        <v>1</v>
      </c>
      <c r="K10" s="113">
        <f>I10*J10*0.1</f>
        <v>1547794908.8000002</v>
      </c>
      <c r="L10" s="42">
        <f>+K10/1293.58</f>
        <v>1196520.4384730749</v>
      </c>
      <c r="M10" s="189">
        <f>K10/203826</f>
        <v>7593.7069304210463</v>
      </c>
    </row>
    <row r="11" spans="1:28" ht="36">
      <c r="B11" s="191">
        <v>3</v>
      </c>
      <c r="C11" s="330" t="s">
        <v>64</v>
      </c>
      <c r="D11" s="28" t="s">
        <v>39</v>
      </c>
      <c r="E11" s="33" t="s">
        <v>98</v>
      </c>
      <c r="F11" s="129">
        <v>35249</v>
      </c>
      <c r="G11" s="129">
        <v>35764</v>
      </c>
      <c r="H11" s="39">
        <f t="shared" si="0"/>
        <v>515</v>
      </c>
      <c r="I11" s="45">
        <v>5863427316</v>
      </c>
      <c r="J11" s="41">
        <v>0.5</v>
      </c>
      <c r="K11" s="113">
        <f>I11*J11*0.1</f>
        <v>293171365.80000001</v>
      </c>
      <c r="L11" s="42">
        <f>+K11/1293.58</f>
        <v>226635.66675427885</v>
      </c>
      <c r="M11" s="189">
        <f>K11/172005</f>
        <v>1704.4351373506586</v>
      </c>
    </row>
    <row r="12" spans="1:28" ht="24">
      <c r="B12" s="191">
        <v>4</v>
      </c>
      <c r="C12" s="324" t="s">
        <v>315</v>
      </c>
      <c r="D12" s="94" t="s">
        <v>88</v>
      </c>
      <c r="E12" s="38" t="s">
        <v>316</v>
      </c>
      <c r="F12" s="131">
        <v>38952</v>
      </c>
      <c r="G12" s="131">
        <v>39100</v>
      </c>
      <c r="H12" s="39">
        <f>G12-F12</f>
        <v>148</v>
      </c>
      <c r="I12" s="40">
        <f>6600790122+220000000+3330000000</f>
        <v>10150790122</v>
      </c>
      <c r="J12" s="41">
        <v>0.25</v>
      </c>
      <c r="K12" s="113">
        <v>321568947</v>
      </c>
      <c r="L12" s="42">
        <f>+K12/2046.2</f>
        <v>157154.21122079954</v>
      </c>
      <c r="M12" s="189">
        <f>K12/408000</f>
        <v>788.15918382352936</v>
      </c>
    </row>
    <row r="13" spans="1:28" ht="24">
      <c r="B13" s="191">
        <v>5</v>
      </c>
      <c r="C13" s="324" t="s">
        <v>314</v>
      </c>
      <c r="D13" s="94" t="s">
        <v>88</v>
      </c>
      <c r="E13" s="38" t="s">
        <v>317</v>
      </c>
      <c r="F13" s="131">
        <v>38952</v>
      </c>
      <c r="G13" s="131">
        <v>39136</v>
      </c>
      <c r="H13" s="39">
        <f>G13-F13</f>
        <v>184</v>
      </c>
      <c r="I13" s="40">
        <f>6600790122+220000000+3330000000</f>
        <v>10150790122</v>
      </c>
      <c r="J13" s="41">
        <v>0.25</v>
      </c>
      <c r="K13" s="113">
        <v>252314000</v>
      </c>
      <c r="L13" s="42">
        <f>+K13/2046.2</f>
        <v>123308.57198709804</v>
      </c>
      <c r="M13" s="189">
        <f>K13/408000</f>
        <v>618.41666666666663</v>
      </c>
    </row>
    <row r="14" spans="1:28" ht="24">
      <c r="B14" s="190">
        <v>6</v>
      </c>
      <c r="C14" s="53" t="s">
        <v>157</v>
      </c>
      <c r="D14" s="53" t="s">
        <v>222</v>
      </c>
      <c r="E14" s="38" t="s">
        <v>327</v>
      </c>
      <c r="F14" s="131">
        <v>39021</v>
      </c>
      <c r="G14" s="131">
        <v>39763</v>
      </c>
      <c r="H14" s="39">
        <f t="shared" si="0"/>
        <v>742</v>
      </c>
      <c r="I14" s="52">
        <v>433700</v>
      </c>
      <c r="J14" s="66"/>
      <c r="K14" s="119">
        <f>1732678409*0.2</f>
        <v>346535681.80000001</v>
      </c>
      <c r="L14" s="67"/>
      <c r="M14" s="192">
        <f>+K14/I14</f>
        <v>799.02163200368921</v>
      </c>
    </row>
    <row r="15" spans="1:28" ht="25" thickBot="1">
      <c r="B15" s="194">
        <v>7</v>
      </c>
      <c r="C15" s="325" t="s">
        <v>87</v>
      </c>
      <c r="D15" s="226" t="s">
        <v>88</v>
      </c>
      <c r="E15" s="195" t="s">
        <v>248</v>
      </c>
      <c r="F15" s="197">
        <v>39674</v>
      </c>
      <c r="G15" s="197">
        <v>40404</v>
      </c>
      <c r="H15" s="198">
        <f>G15-F15</f>
        <v>730</v>
      </c>
      <c r="I15" s="262">
        <f>6600790122+220000000+3330000000</f>
        <v>10150790122</v>
      </c>
      <c r="J15" s="260">
        <v>0.25</v>
      </c>
      <c r="K15" s="274">
        <f>I15*J15</f>
        <v>2537697530.5</v>
      </c>
      <c r="L15" s="232">
        <f>+K15/2046.2</f>
        <v>1240200.141970482</v>
      </c>
      <c r="M15" s="233">
        <f>K15/515000</f>
        <v>4927.5680203883494</v>
      </c>
    </row>
    <row r="16" spans="1:28" ht="5" customHeight="1">
      <c r="B16" s="29"/>
      <c r="C16" s="181"/>
      <c r="D16" s="181"/>
      <c r="E16"/>
      <c r="F16" s="181"/>
      <c r="G16" s="181"/>
      <c r="H16"/>
      <c r="I16"/>
      <c r="J16"/>
      <c r="K16"/>
      <c r="L16"/>
      <c r="M16"/>
    </row>
    <row r="17" spans="1:25">
      <c r="A17" s="3"/>
    </row>
    <row r="18" spans="1:25">
      <c r="A18" s="3"/>
    </row>
    <row r="19" spans="1:25">
      <c r="A19" s="3"/>
      <c r="O19" s="15"/>
      <c r="P19" s="2"/>
      <c r="Q19" s="2"/>
      <c r="T19" s="5"/>
      <c r="U19" s="5"/>
      <c r="V19" s="6"/>
      <c r="W19" s="4"/>
      <c r="X19" s="7"/>
      <c r="Y19" s="4"/>
    </row>
    <row r="20" spans="1:25">
      <c r="A20" s="3"/>
      <c r="O20" s="15"/>
      <c r="P20" s="2"/>
      <c r="Q20" s="2"/>
      <c r="T20" s="5"/>
      <c r="U20" s="5"/>
      <c r="V20" s="6"/>
      <c r="W20" s="4"/>
      <c r="X20" s="7"/>
      <c r="Y20" s="4"/>
    </row>
    <row r="21" spans="1:25">
      <c r="A21" s="3"/>
      <c r="O21" s="15"/>
      <c r="P21" s="2"/>
      <c r="Q21" s="2"/>
      <c r="T21" s="5"/>
      <c r="U21" s="5"/>
      <c r="V21" s="6"/>
      <c r="W21" s="4"/>
      <c r="X21" s="7"/>
      <c r="Y21" s="4"/>
    </row>
    <row r="22" spans="1:25">
      <c r="A22" s="3"/>
      <c r="O22" s="15"/>
      <c r="P22" s="2"/>
      <c r="Q22" s="2"/>
      <c r="T22" s="5"/>
      <c r="U22" s="5"/>
      <c r="V22" s="6"/>
      <c r="W22" s="4"/>
      <c r="X22" s="7"/>
      <c r="Y22" s="4"/>
    </row>
    <row r="23" spans="1:25">
      <c r="A23" s="3"/>
      <c r="B23" s="186"/>
      <c r="C23" s="181"/>
      <c r="D23" s="181"/>
      <c r="E23"/>
      <c r="F23" s="181"/>
      <c r="G23" s="181"/>
      <c r="H23"/>
      <c r="I23"/>
      <c r="J23"/>
      <c r="K23" s="127"/>
      <c r="O23" s="15"/>
      <c r="P23" s="2"/>
      <c r="Q23" s="2"/>
      <c r="T23" s="5"/>
      <c r="U23" s="5"/>
      <c r="V23" s="6"/>
      <c r="W23" s="4"/>
      <c r="X23" s="7"/>
      <c r="Y23" s="4"/>
    </row>
    <row r="24" spans="1:25">
      <c r="A24" s="3"/>
      <c r="B24" s="186"/>
      <c r="C24" s="181"/>
      <c r="D24" s="181"/>
      <c r="E24"/>
      <c r="F24" s="181"/>
      <c r="G24" s="181"/>
      <c r="H24"/>
      <c r="I24"/>
      <c r="J24"/>
      <c r="K24" s="127"/>
    </row>
    <row r="25" spans="1:25">
      <c r="A25" s="3"/>
      <c r="B25" s="186"/>
      <c r="C25" s="181"/>
      <c r="D25" s="181"/>
      <c r="E25"/>
      <c r="F25" s="181"/>
      <c r="G25" s="181"/>
      <c r="H25"/>
      <c r="I25"/>
      <c r="J25"/>
      <c r="K25" s="127"/>
    </row>
    <row r="26" spans="1:25">
      <c r="A26" s="3"/>
      <c r="B26" s="186"/>
      <c r="C26" s="181"/>
      <c r="D26" s="181"/>
      <c r="E26"/>
      <c r="F26" s="181"/>
      <c r="G26" s="181"/>
      <c r="H26"/>
      <c r="I26"/>
      <c r="J26"/>
      <c r="K26" s="127"/>
    </row>
    <row r="27" spans="1:25">
      <c r="A27" s="3"/>
      <c r="B27" s="186"/>
      <c r="C27" s="181"/>
      <c r="D27" s="181"/>
      <c r="E27"/>
      <c r="F27" s="181"/>
      <c r="G27" s="181"/>
      <c r="H27"/>
      <c r="I27"/>
      <c r="J27"/>
      <c r="K27" s="127"/>
    </row>
    <row r="28" spans="1:25">
      <c r="A28" s="3"/>
      <c r="B28" s="186"/>
      <c r="C28" s="181"/>
      <c r="D28" s="181"/>
      <c r="E28"/>
      <c r="F28" s="181"/>
      <c r="G28" s="181"/>
      <c r="H28"/>
      <c r="I28"/>
      <c r="J28"/>
      <c r="K28" s="127"/>
    </row>
    <row r="29" spans="1:25">
      <c r="A29" s="3"/>
      <c r="B29" s="186"/>
      <c r="C29" s="181"/>
      <c r="D29" s="181"/>
      <c r="E29"/>
      <c r="F29" s="181"/>
      <c r="G29" s="181"/>
      <c r="H29"/>
      <c r="I29"/>
      <c r="J29"/>
      <c r="K29" s="127"/>
    </row>
    <row r="30" spans="1:25">
      <c r="A30" s="3"/>
      <c r="B30" s="186"/>
      <c r="C30" s="181"/>
      <c r="D30" s="181"/>
      <c r="E30"/>
      <c r="F30" s="181"/>
      <c r="G30" s="181"/>
      <c r="H30"/>
      <c r="I30"/>
      <c r="J30"/>
      <c r="K30" s="127"/>
    </row>
    <row r="31" spans="1:25">
      <c r="A31" s="3"/>
      <c r="B31" s="186"/>
      <c r="C31" s="181"/>
      <c r="D31" s="181"/>
      <c r="E31"/>
      <c r="F31" s="181"/>
      <c r="G31" s="181"/>
      <c r="H31"/>
      <c r="I31"/>
      <c r="J31"/>
      <c r="K31" s="127"/>
    </row>
    <row r="32" spans="1:25">
      <c r="A32" s="3"/>
      <c r="B32" s="186"/>
      <c r="C32" s="181"/>
      <c r="D32" s="181"/>
      <c r="E32"/>
      <c r="F32" s="181"/>
      <c r="G32" s="181"/>
      <c r="H32"/>
      <c r="I32"/>
      <c r="J32"/>
      <c r="K32" s="127"/>
      <c r="L32" s="3"/>
      <c r="M32" s="3"/>
    </row>
    <row r="33" spans="1:13">
      <c r="A33" s="3"/>
      <c r="B33" s="186"/>
      <c r="C33" s="181"/>
      <c r="D33" s="181"/>
      <c r="E33"/>
      <c r="F33" s="181"/>
      <c r="G33" s="181"/>
      <c r="H33"/>
      <c r="I33"/>
      <c r="J33"/>
      <c r="K33" s="127"/>
      <c r="L33" s="3"/>
      <c r="M33" s="3"/>
    </row>
    <row r="34" spans="1:13">
      <c r="A34" s="3"/>
      <c r="B34" s="186"/>
      <c r="C34" s="181"/>
      <c r="D34" s="181"/>
      <c r="E34"/>
      <c r="F34" s="181"/>
      <c r="G34" s="181"/>
      <c r="H34"/>
      <c r="I34"/>
      <c r="J34"/>
      <c r="K34" s="127"/>
      <c r="L34" s="3"/>
      <c r="M34" s="3"/>
    </row>
    <row r="35" spans="1:13">
      <c r="A35" s="3"/>
      <c r="B35" s="186"/>
      <c r="C35" s="181"/>
      <c r="D35" s="181"/>
      <c r="E35"/>
      <c r="F35" s="181"/>
      <c r="G35" s="181"/>
      <c r="H35"/>
      <c r="I35"/>
      <c r="J35"/>
      <c r="K35" s="127"/>
      <c r="L35" s="3"/>
      <c r="M35" s="3"/>
    </row>
    <row r="36" spans="1:13">
      <c r="A36" s="3"/>
      <c r="B36" s="186"/>
      <c r="C36" s="181"/>
      <c r="D36" s="181"/>
      <c r="E36"/>
      <c r="F36" s="181"/>
      <c r="G36" s="181"/>
      <c r="H36"/>
      <c r="I36"/>
      <c r="J36"/>
      <c r="K36" s="127"/>
      <c r="L36" s="3"/>
      <c r="M36" s="3"/>
    </row>
    <row r="37" spans="1:13">
      <c r="A37" s="3"/>
      <c r="B37" s="186"/>
      <c r="C37" s="181"/>
      <c r="D37" s="181"/>
      <c r="E37"/>
      <c r="F37" s="181"/>
      <c r="G37" s="181"/>
      <c r="H37"/>
      <c r="I37"/>
      <c r="J37"/>
      <c r="K37" s="127"/>
      <c r="L37" s="3"/>
      <c r="M37" s="3"/>
    </row>
    <row r="38" spans="1:13">
      <c r="A38" s="3"/>
      <c r="B38" s="186"/>
      <c r="C38" s="181"/>
      <c r="D38" s="181"/>
      <c r="E38"/>
      <c r="F38" s="181"/>
      <c r="G38" s="181"/>
      <c r="H38"/>
      <c r="I38"/>
      <c r="J38"/>
      <c r="K38" s="127"/>
      <c r="L38" s="3"/>
      <c r="M38" s="3"/>
    </row>
    <row r="39" spans="1:13">
      <c r="A39" s="3"/>
      <c r="B39" s="186"/>
      <c r="C39" s="181"/>
      <c r="D39" s="181"/>
      <c r="E39"/>
      <c r="F39" s="181"/>
      <c r="G39" s="181"/>
      <c r="H39"/>
      <c r="I39"/>
      <c r="J39"/>
      <c r="K39" s="127"/>
      <c r="L39" s="3"/>
      <c r="M39" s="3"/>
    </row>
    <row r="40" spans="1:13">
      <c r="A40" s="3"/>
      <c r="B40" s="186"/>
      <c r="C40" s="181"/>
      <c r="D40" s="181"/>
      <c r="E40"/>
      <c r="F40" s="181"/>
      <c r="G40" s="181"/>
      <c r="H40"/>
      <c r="I40"/>
      <c r="J40"/>
      <c r="K40" s="127"/>
      <c r="L40" s="3"/>
      <c r="M40" s="3"/>
    </row>
  </sheetData>
  <sheetProtection password="C23C" sheet="1" objects="1" scenarios="1" selectLockedCells="1" selectUnlockedCells="1"/>
  <mergeCells count="2">
    <mergeCell ref="C5:K5"/>
    <mergeCell ref="C6:K6"/>
  </mergeCells>
  <phoneticPr fontId="18" type="noConversion"/>
  <pageMargins left="0.75000000000000011" right="0.75000000000000011" top="1" bottom="1" header="0.5" footer="0.5"/>
  <pageSetup scale="62" orientation="portrait" horizontalDpi="4294967292" verticalDpi="4294967292"/>
  <extLst>
    <ext xmlns:mx="http://schemas.microsoft.com/office/mac/excel/2008/main" uri="{64002731-A6B0-56B0-2670-7721B7C09600}">
      <mx:PLV Mode="0" OnePage="0" WScale="10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AB30"/>
  <sheetViews>
    <sheetView topLeftCell="B1" workbookViewId="0">
      <selection activeCell="B1" sqref="B1"/>
    </sheetView>
  </sheetViews>
  <sheetFormatPr baseColWidth="10" defaultRowHeight="15" x14ac:dyDescent="0"/>
  <cols>
    <col min="1" max="1" width="1.33203125" style="1" hidden="1" customWidth="1"/>
    <col min="2" max="2" width="4.33203125" style="184" customWidth="1"/>
    <col min="3" max="3" width="15.83203125" style="333" customWidth="1"/>
    <col min="4" max="4" width="20.83203125" style="15" customWidth="1"/>
    <col min="5" max="5" width="40.83203125" style="3" customWidth="1"/>
    <col min="6" max="7" width="10.83203125" style="144" customWidth="1"/>
    <col min="8" max="8" width="8.1640625" style="6" hidden="1" customWidth="1"/>
    <col min="9" max="9" width="14.5" style="4" hidden="1" customWidth="1"/>
    <col min="10" max="10" width="9.83203125" style="7" hidden="1" customWidth="1"/>
    <col min="11" max="11" width="15.83203125" style="117" customWidth="1"/>
    <col min="12" max="12" width="15.33203125" style="4" hidden="1" customWidth="1"/>
    <col min="13" max="13" width="15.83203125" style="7" customWidth="1"/>
    <col min="14" max="16384" width="10.83203125" style="3"/>
  </cols>
  <sheetData>
    <row r="1" spans="1:28" ht="18" customHeight="1">
      <c r="B1" s="29"/>
      <c r="C1" s="181"/>
      <c r="D1" s="181"/>
      <c r="E1"/>
      <c r="F1" s="181"/>
      <c r="G1" s="181"/>
      <c r="H1"/>
      <c r="I1"/>
      <c r="J1"/>
      <c r="K1"/>
      <c r="L1"/>
      <c r="M1"/>
    </row>
    <row r="2" spans="1:28" ht="18">
      <c r="B2" s="182"/>
      <c r="C2" s="331"/>
      <c r="D2" s="75"/>
      <c r="E2" s="78" t="s">
        <v>0</v>
      </c>
      <c r="H2" s="79"/>
      <c r="I2" s="80"/>
      <c r="J2" s="81"/>
      <c r="K2" s="116"/>
      <c r="L2" s="80"/>
      <c r="M2" s="82"/>
      <c r="O2"/>
      <c r="P2"/>
      <c r="Q2"/>
      <c r="R2"/>
      <c r="S2"/>
      <c r="T2"/>
      <c r="U2"/>
      <c r="V2"/>
      <c r="W2"/>
      <c r="X2"/>
      <c r="Y2"/>
      <c r="Z2"/>
      <c r="AA2"/>
      <c r="AB2"/>
    </row>
    <row r="3" spans="1:28" ht="18">
      <c r="B3" s="182"/>
      <c r="C3" s="331"/>
      <c r="D3" s="75"/>
      <c r="E3" s="78" t="s">
        <v>256</v>
      </c>
      <c r="H3" s="79"/>
      <c r="I3" s="80"/>
      <c r="J3" s="81"/>
      <c r="K3" s="116"/>
      <c r="L3" s="80"/>
      <c r="M3" s="82"/>
      <c r="O3"/>
      <c r="P3"/>
      <c r="Q3"/>
      <c r="R3"/>
      <c r="S3"/>
      <c r="T3"/>
      <c r="U3"/>
      <c r="V3"/>
      <c r="W3"/>
      <c r="X3"/>
      <c r="Y3"/>
      <c r="Z3"/>
      <c r="AA3"/>
      <c r="AB3"/>
    </row>
    <row r="4" spans="1:28" s="10" customFormat="1" ht="18" customHeight="1">
      <c r="A4" s="8"/>
      <c r="B4" s="183"/>
      <c r="C4" s="332"/>
      <c r="D4" s="83"/>
      <c r="E4" s="85"/>
      <c r="F4" s="236"/>
      <c r="G4" s="236"/>
      <c r="H4" s="86"/>
      <c r="I4" s="9"/>
      <c r="J4" s="9"/>
      <c r="K4" s="115"/>
      <c r="L4" s="9"/>
      <c r="M4" s="9"/>
      <c r="O4"/>
      <c r="P4"/>
      <c r="Q4"/>
      <c r="R4"/>
      <c r="S4"/>
      <c r="T4"/>
      <c r="U4"/>
      <c r="V4"/>
      <c r="W4"/>
      <c r="X4"/>
      <c r="Y4"/>
      <c r="Z4"/>
      <c r="AA4"/>
      <c r="AB4"/>
    </row>
    <row r="5" spans="1:28" s="10" customFormat="1" ht="23">
      <c r="A5" s="85"/>
      <c r="B5" s="183"/>
      <c r="C5" s="344" t="s">
        <v>384</v>
      </c>
      <c r="D5" s="344"/>
      <c r="E5" s="344"/>
      <c r="F5" s="344"/>
      <c r="G5" s="344"/>
      <c r="H5" s="344"/>
      <c r="I5" s="344"/>
      <c r="J5" s="344"/>
      <c r="K5" s="344"/>
      <c r="L5" s="9"/>
      <c r="M5" s="9"/>
      <c r="O5"/>
      <c r="P5"/>
      <c r="Q5"/>
      <c r="R5"/>
      <c r="S5"/>
      <c r="T5"/>
      <c r="U5"/>
      <c r="V5"/>
      <c r="W5"/>
      <c r="X5"/>
      <c r="Y5"/>
      <c r="Z5"/>
      <c r="AA5"/>
      <c r="AB5"/>
    </row>
    <row r="6" spans="1:28" ht="23">
      <c r="B6" s="69"/>
      <c r="C6" s="344" t="s">
        <v>385</v>
      </c>
      <c r="D6" s="344"/>
      <c r="E6" s="344"/>
      <c r="F6" s="344"/>
      <c r="G6" s="344"/>
      <c r="H6" s="344"/>
      <c r="I6" s="344"/>
      <c r="J6" s="344"/>
      <c r="K6" s="344"/>
      <c r="L6" s="97"/>
      <c r="M6" s="98"/>
    </row>
    <row r="7" spans="1:28" ht="24" thickBot="1">
      <c r="B7" s="69"/>
      <c r="C7" s="43"/>
      <c r="D7" s="43"/>
      <c r="E7" s="43"/>
      <c r="F7" s="43"/>
      <c r="G7" s="43"/>
      <c r="H7" s="43"/>
      <c r="I7" s="43"/>
      <c r="J7" s="43"/>
      <c r="K7" s="43"/>
      <c r="L7" s="97"/>
      <c r="M7" s="98"/>
    </row>
    <row r="8" spans="1:28" ht="40" customHeight="1" thickBot="1">
      <c r="B8" s="211" t="s">
        <v>1</v>
      </c>
      <c r="C8" s="321" t="s">
        <v>2</v>
      </c>
      <c r="D8" s="212" t="s">
        <v>3</v>
      </c>
      <c r="E8" s="212" t="s">
        <v>4</v>
      </c>
      <c r="F8" s="213" t="s">
        <v>5</v>
      </c>
      <c r="G8" s="213" t="s">
        <v>6</v>
      </c>
      <c r="H8" s="214" t="s">
        <v>7</v>
      </c>
      <c r="I8" s="215" t="s">
        <v>8</v>
      </c>
      <c r="J8" s="215" t="s">
        <v>9</v>
      </c>
      <c r="K8" s="216" t="s">
        <v>250</v>
      </c>
      <c r="L8" s="215" t="s">
        <v>10</v>
      </c>
      <c r="M8" s="217" t="s">
        <v>11</v>
      </c>
    </row>
    <row r="9" spans="1:28" ht="36">
      <c r="B9" s="277">
        <v>1</v>
      </c>
      <c r="C9" s="278" t="s">
        <v>181</v>
      </c>
      <c r="D9" s="278" t="s">
        <v>182</v>
      </c>
      <c r="E9" s="248" t="s">
        <v>183</v>
      </c>
      <c r="F9" s="279">
        <v>38964</v>
      </c>
      <c r="G9" s="279">
        <v>39208</v>
      </c>
      <c r="H9" s="280">
        <f>+G9-F9</f>
        <v>244</v>
      </c>
      <c r="I9" s="281">
        <v>2228166895</v>
      </c>
      <c r="J9" s="282">
        <v>0.35</v>
      </c>
      <c r="K9" s="283">
        <f>+I9*J9</f>
        <v>779858413.25</v>
      </c>
      <c r="L9" s="281">
        <f>+K9/2000</f>
        <v>389929.20662499999</v>
      </c>
      <c r="M9" s="284">
        <f>+K9/433700</f>
        <v>1798.1517483283376</v>
      </c>
    </row>
    <row r="10" spans="1:28" ht="36">
      <c r="B10" s="275">
        <v>2</v>
      </c>
      <c r="C10" s="17" t="s">
        <v>187</v>
      </c>
      <c r="D10" s="17" t="s">
        <v>188</v>
      </c>
      <c r="E10" s="18" t="s">
        <v>189</v>
      </c>
      <c r="F10" s="132">
        <v>40134</v>
      </c>
      <c r="G10" s="132">
        <v>40423</v>
      </c>
      <c r="H10" s="19">
        <f>+G10-F10</f>
        <v>289</v>
      </c>
      <c r="I10" s="22">
        <v>2708827245</v>
      </c>
      <c r="J10" s="21">
        <v>0.15</v>
      </c>
      <c r="K10" s="120">
        <f>+I10*J10</f>
        <v>406324086.75</v>
      </c>
      <c r="L10" s="20">
        <f>+K10/2000</f>
        <v>203162.04337500001</v>
      </c>
      <c r="M10" s="193">
        <f>+K10/515000</f>
        <v>788.97880922330103</v>
      </c>
    </row>
    <row r="11" spans="1:28" ht="24">
      <c r="B11" s="275">
        <v>3</v>
      </c>
      <c r="C11" s="17" t="s">
        <v>190</v>
      </c>
      <c r="D11" s="17" t="s">
        <v>191</v>
      </c>
      <c r="E11" s="18" t="s">
        <v>192</v>
      </c>
      <c r="F11" s="132">
        <v>40422</v>
      </c>
      <c r="G11" s="132">
        <v>40524</v>
      </c>
      <c r="H11" s="19">
        <f t="shared" ref="H11" si="0">+G11-F11</f>
        <v>102</v>
      </c>
      <c r="I11" s="20">
        <v>280000000</v>
      </c>
      <c r="J11" s="21">
        <v>1</v>
      </c>
      <c r="K11" s="120">
        <f>+I11*J11</f>
        <v>280000000</v>
      </c>
      <c r="L11" s="20">
        <f>+K11/2000</f>
        <v>140000</v>
      </c>
      <c r="M11" s="193">
        <f>+K11/515000</f>
        <v>543.68932038834953</v>
      </c>
    </row>
    <row r="12" spans="1:28" ht="24">
      <c r="B12" s="191">
        <v>4</v>
      </c>
      <c r="C12" s="28" t="s">
        <v>202</v>
      </c>
      <c r="D12" s="28" t="s">
        <v>203</v>
      </c>
      <c r="E12" s="33" t="s">
        <v>204</v>
      </c>
      <c r="F12" s="129">
        <v>41652</v>
      </c>
      <c r="G12" s="129">
        <v>41894</v>
      </c>
      <c r="H12" s="34">
        <v>242</v>
      </c>
      <c r="I12" s="35">
        <v>2150000000</v>
      </c>
      <c r="J12" s="36">
        <v>0.81</v>
      </c>
      <c r="K12" s="113">
        <v>1741500000</v>
      </c>
      <c r="L12" s="35">
        <v>870750</v>
      </c>
      <c r="M12" s="276">
        <v>2827.11</v>
      </c>
    </row>
    <row r="13" spans="1:28" ht="36">
      <c r="B13" s="191">
        <v>5</v>
      </c>
      <c r="C13" s="28" t="s">
        <v>205</v>
      </c>
      <c r="D13" s="28" t="s">
        <v>206</v>
      </c>
      <c r="E13" s="33" t="s">
        <v>207</v>
      </c>
      <c r="F13" s="129">
        <v>41655</v>
      </c>
      <c r="G13" s="129">
        <v>41897</v>
      </c>
      <c r="H13" s="34">
        <v>242</v>
      </c>
      <c r="I13" s="35">
        <v>1634727273</v>
      </c>
      <c r="J13" s="36">
        <v>0.45</v>
      </c>
      <c r="K13" s="113">
        <v>735627272.85000002</v>
      </c>
      <c r="L13" s="35">
        <v>367813.64</v>
      </c>
      <c r="M13" s="276">
        <v>1194.2</v>
      </c>
    </row>
    <row r="14" spans="1:28" ht="36">
      <c r="B14" s="191">
        <v>6</v>
      </c>
      <c r="C14" s="28" t="s">
        <v>208</v>
      </c>
      <c r="D14" s="28" t="s">
        <v>209</v>
      </c>
      <c r="E14" s="33" t="s">
        <v>210</v>
      </c>
      <c r="F14" s="129">
        <v>41674</v>
      </c>
      <c r="G14" s="129">
        <v>41885</v>
      </c>
      <c r="H14" s="34">
        <v>272</v>
      </c>
      <c r="I14" s="35">
        <v>1350000000</v>
      </c>
      <c r="J14" s="36">
        <v>0.4</v>
      </c>
      <c r="K14" s="113">
        <v>1350000000</v>
      </c>
      <c r="L14" s="35">
        <v>731727.15</v>
      </c>
      <c r="M14" s="276">
        <f>+K14/616000</f>
        <v>2191.5584415584417</v>
      </c>
    </row>
    <row r="15" spans="1:28" ht="24">
      <c r="B15" s="191">
        <v>7</v>
      </c>
      <c r="C15" s="334" t="s">
        <v>211</v>
      </c>
      <c r="D15" s="28" t="s">
        <v>203</v>
      </c>
      <c r="E15" s="33" t="s">
        <v>212</v>
      </c>
      <c r="F15" s="129">
        <v>42339</v>
      </c>
      <c r="G15" s="129">
        <v>42781</v>
      </c>
      <c r="H15" s="34">
        <v>442</v>
      </c>
      <c r="I15" s="35">
        <v>7154648830</v>
      </c>
      <c r="J15" s="36">
        <v>0.9</v>
      </c>
      <c r="K15" s="113">
        <v>6439183947</v>
      </c>
      <c r="L15" s="35">
        <v>7775759.2000000002</v>
      </c>
      <c r="M15" s="276">
        <v>10453.219999999999</v>
      </c>
    </row>
    <row r="16" spans="1:28" ht="24">
      <c r="B16" s="191">
        <v>8</v>
      </c>
      <c r="C16" s="324" t="s">
        <v>92</v>
      </c>
      <c r="D16" s="94" t="s">
        <v>93</v>
      </c>
      <c r="E16" s="38" t="s">
        <v>94</v>
      </c>
      <c r="F16" s="131">
        <v>42430</v>
      </c>
      <c r="G16" s="131">
        <v>43160</v>
      </c>
      <c r="H16" s="39">
        <f>G16-F16</f>
        <v>730</v>
      </c>
      <c r="I16" s="40">
        <v>6434289000</v>
      </c>
      <c r="J16" s="41">
        <v>0.5</v>
      </c>
      <c r="K16" s="113">
        <f>I16*J16</f>
        <v>3217144500</v>
      </c>
      <c r="L16" s="42">
        <f>+K16/2046.2</f>
        <v>1572253.2010556152</v>
      </c>
      <c r="M16" s="189">
        <f>K16/689454</f>
        <v>4666.2206615669793</v>
      </c>
    </row>
    <row r="17" spans="1:13">
      <c r="A17" s="3"/>
      <c r="B17" s="191"/>
      <c r="C17" s="324"/>
      <c r="D17" s="94"/>
      <c r="E17" s="38"/>
      <c r="F17" s="131"/>
      <c r="G17" s="131"/>
      <c r="H17" s="39"/>
      <c r="I17" s="40"/>
      <c r="J17" s="41"/>
      <c r="K17" s="113"/>
      <c r="L17" s="42"/>
      <c r="M17" s="189"/>
    </row>
    <row r="18" spans="1:13" ht="16" thickBot="1">
      <c r="A18" s="3"/>
      <c r="B18" s="194"/>
      <c r="C18" s="325"/>
      <c r="D18" s="226"/>
      <c r="E18" s="195"/>
      <c r="F18" s="197"/>
      <c r="G18" s="197"/>
      <c r="H18" s="198"/>
      <c r="I18" s="262"/>
      <c r="J18" s="260"/>
      <c r="K18" s="274"/>
      <c r="L18" s="232"/>
      <c r="M18" s="233"/>
    </row>
    <row r="19" spans="1:13">
      <c r="A19" s="3"/>
      <c r="B19" s="29"/>
      <c r="C19" s="328"/>
      <c r="D19" s="69"/>
      <c r="E19" s="68"/>
      <c r="F19" s="134"/>
      <c r="G19" s="134"/>
      <c r="H19" s="55"/>
      <c r="I19" s="56"/>
      <c r="J19" s="57"/>
      <c r="K19" s="123"/>
      <c r="L19" s="58"/>
      <c r="M19" s="59"/>
    </row>
    <row r="20" spans="1:13">
      <c r="A20" s="3"/>
      <c r="B20" s="186"/>
      <c r="C20" s="181"/>
      <c r="D20" s="181"/>
      <c r="E20"/>
      <c r="F20" s="181"/>
      <c r="G20" s="181"/>
      <c r="H20"/>
      <c r="I20"/>
      <c r="J20"/>
      <c r="K20" s="127"/>
    </row>
    <row r="21" spans="1:13">
      <c r="A21" s="3"/>
      <c r="B21" s="186"/>
      <c r="C21" s="181"/>
      <c r="D21" s="181"/>
      <c r="E21"/>
      <c r="F21" s="181"/>
      <c r="G21" s="181"/>
      <c r="H21"/>
      <c r="I21"/>
      <c r="J21"/>
      <c r="K21" s="127"/>
    </row>
    <row r="22" spans="1:13">
      <c r="A22" s="3"/>
      <c r="B22" s="186"/>
      <c r="C22" s="181"/>
      <c r="D22" s="181"/>
      <c r="E22"/>
      <c r="F22" s="181"/>
      <c r="G22" s="181"/>
      <c r="H22"/>
      <c r="I22"/>
      <c r="J22"/>
      <c r="K22" s="127"/>
      <c r="L22" s="3"/>
      <c r="M22" s="3"/>
    </row>
    <row r="23" spans="1:13">
      <c r="A23" s="3"/>
      <c r="B23" s="186"/>
      <c r="C23" s="181"/>
      <c r="D23" s="181"/>
      <c r="E23"/>
      <c r="F23" s="181"/>
      <c r="G23" s="181"/>
      <c r="H23"/>
      <c r="I23"/>
      <c r="J23"/>
      <c r="K23" s="127"/>
      <c r="L23" s="3"/>
      <c r="M23" s="3"/>
    </row>
    <row r="24" spans="1:13">
      <c r="A24" s="3"/>
      <c r="B24" s="186"/>
      <c r="C24" s="181"/>
      <c r="D24" s="181"/>
      <c r="E24"/>
      <c r="F24" s="181"/>
      <c r="G24" s="181"/>
      <c r="H24"/>
      <c r="I24"/>
      <c r="J24"/>
      <c r="K24" s="127"/>
      <c r="L24" s="3"/>
      <c r="M24" s="3"/>
    </row>
    <row r="25" spans="1:13">
      <c r="A25" s="3"/>
      <c r="B25" s="186"/>
      <c r="C25" s="181"/>
      <c r="D25" s="181"/>
      <c r="E25"/>
      <c r="F25" s="181"/>
      <c r="G25" s="181"/>
      <c r="H25"/>
      <c r="I25"/>
      <c r="J25"/>
      <c r="K25" s="127"/>
      <c r="L25" s="3"/>
      <c r="M25" s="3"/>
    </row>
    <row r="26" spans="1:13">
      <c r="A26" s="3"/>
      <c r="B26" s="186"/>
      <c r="C26" s="181"/>
      <c r="D26" s="181"/>
      <c r="E26"/>
      <c r="F26" s="181"/>
      <c r="G26" s="181"/>
      <c r="H26"/>
      <c r="I26"/>
      <c r="J26"/>
      <c r="K26" s="127"/>
      <c r="L26" s="3"/>
      <c r="M26" s="3"/>
    </row>
    <row r="27" spans="1:13">
      <c r="A27" s="3"/>
      <c r="B27" s="186"/>
      <c r="C27" s="181"/>
      <c r="D27" s="181"/>
      <c r="E27"/>
      <c r="F27" s="181"/>
      <c r="G27" s="181"/>
      <c r="H27"/>
      <c r="I27"/>
      <c r="J27"/>
      <c r="K27" s="127"/>
      <c r="L27" s="3"/>
      <c r="M27" s="3"/>
    </row>
    <row r="28" spans="1:13">
      <c r="A28" s="3"/>
      <c r="B28" s="186"/>
      <c r="C28" s="181"/>
      <c r="D28" s="181"/>
      <c r="E28"/>
      <c r="F28" s="181"/>
      <c r="G28" s="181"/>
      <c r="H28"/>
      <c r="I28"/>
      <c r="J28"/>
      <c r="K28" s="127"/>
      <c r="L28" s="3"/>
      <c r="M28" s="3"/>
    </row>
    <row r="29" spans="1:13">
      <c r="A29" s="3"/>
      <c r="B29" s="186"/>
      <c r="C29" s="181"/>
      <c r="D29" s="181"/>
      <c r="E29"/>
      <c r="F29" s="181"/>
      <c r="G29" s="181"/>
      <c r="H29"/>
      <c r="I29"/>
      <c r="J29"/>
      <c r="K29" s="127"/>
      <c r="L29" s="3"/>
      <c r="M29" s="3"/>
    </row>
    <row r="30" spans="1:13">
      <c r="A30" s="3"/>
      <c r="B30" s="186"/>
      <c r="C30" s="181"/>
      <c r="D30" s="181"/>
      <c r="E30"/>
      <c r="F30" s="181"/>
      <c r="G30" s="181"/>
      <c r="H30"/>
      <c r="I30"/>
      <c r="J30"/>
      <c r="K30" s="127"/>
      <c r="L30" s="3"/>
      <c r="M30" s="3"/>
    </row>
  </sheetData>
  <sheetProtection password="C23C" sheet="1" objects="1" scenarios="1" selectLockedCells="1" selectUnlockedCells="1"/>
  <mergeCells count="2">
    <mergeCell ref="C5:K5"/>
    <mergeCell ref="C6:K6"/>
  </mergeCells>
  <phoneticPr fontId="18" type="noConversion"/>
  <pageMargins left="0.75000000000000011" right="0.75000000000000011" top="1" bottom="1" header="0.5" footer="0.5"/>
  <pageSetup scale="62" orientation="portrait" horizontalDpi="4294967292" verticalDpi="4294967292"/>
  <extLst>
    <ext xmlns:mx="http://schemas.microsoft.com/office/mac/excel/2008/main" uri="{64002731-A6B0-56B0-2670-7721B7C09600}">
      <mx:PLV Mode="0" OnePage="0" WScale="10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M35"/>
  <sheetViews>
    <sheetView topLeftCell="B1" workbookViewId="0">
      <selection activeCell="B3" sqref="B3"/>
    </sheetView>
  </sheetViews>
  <sheetFormatPr baseColWidth="10" defaultRowHeight="15" x14ac:dyDescent="0"/>
  <cols>
    <col min="1" max="1" width="1.33203125" style="1" hidden="1" customWidth="1"/>
    <col min="2" max="2" width="4.33203125" style="184" customWidth="1"/>
    <col min="3" max="3" width="15.83203125" style="333" customWidth="1"/>
    <col min="4" max="4" width="20.83203125" style="15" customWidth="1"/>
    <col min="5" max="5" width="40.83203125" style="3" customWidth="1"/>
    <col min="6" max="7" width="10.83203125" style="144" customWidth="1"/>
    <col min="8" max="8" width="8.1640625" style="6" hidden="1" customWidth="1"/>
    <col min="9" max="9" width="14.5" style="4" hidden="1" customWidth="1"/>
    <col min="10" max="10" width="9.83203125" style="7" hidden="1" customWidth="1"/>
    <col min="11" max="11" width="15.83203125" style="117" customWidth="1"/>
    <col min="12" max="12" width="15.33203125" style="4" hidden="1" customWidth="1"/>
    <col min="13" max="13" width="15.83203125" style="7" customWidth="1"/>
    <col min="14" max="16384" width="10.83203125" style="3"/>
  </cols>
  <sheetData>
    <row r="1" spans="1:13">
      <c r="A1" s="3"/>
      <c r="B1" s="29"/>
      <c r="C1" s="328"/>
      <c r="D1" s="69"/>
      <c r="E1" s="68"/>
      <c r="F1" s="134"/>
      <c r="G1" s="134"/>
      <c r="H1" s="55"/>
      <c r="I1" s="56"/>
      <c r="J1" s="57"/>
      <c r="K1" s="123"/>
      <c r="L1" s="58"/>
      <c r="M1" s="59"/>
    </row>
    <row r="2" spans="1:13" ht="18">
      <c r="A2" s="3"/>
      <c r="B2" s="182"/>
      <c r="C2" s="331"/>
      <c r="D2" s="75"/>
      <c r="E2" s="78" t="s">
        <v>0</v>
      </c>
      <c r="F2" s="234"/>
      <c r="G2" s="235"/>
      <c r="H2" s="79"/>
      <c r="I2" s="80"/>
      <c r="J2" s="81"/>
      <c r="K2" s="116"/>
      <c r="L2" s="80"/>
      <c r="M2" s="82"/>
    </row>
    <row r="3" spans="1:13" ht="18">
      <c r="A3" s="3"/>
      <c r="B3" s="182"/>
      <c r="C3" s="331"/>
      <c r="D3" s="75"/>
      <c r="E3" s="78" t="s">
        <v>256</v>
      </c>
      <c r="F3" s="234"/>
      <c r="G3" s="235"/>
      <c r="H3" s="79"/>
      <c r="I3" s="80"/>
      <c r="J3" s="81"/>
      <c r="K3" s="116"/>
      <c r="L3" s="80"/>
      <c r="M3" s="82"/>
    </row>
    <row r="4" spans="1:13">
      <c r="A4" s="3"/>
      <c r="B4" s="29"/>
      <c r="C4" s="328"/>
      <c r="D4" s="69"/>
      <c r="E4" s="68"/>
      <c r="F4" s="134"/>
      <c r="G4" s="134"/>
      <c r="H4" s="55"/>
      <c r="I4" s="56"/>
      <c r="J4" s="57"/>
      <c r="K4" s="123"/>
      <c r="L4" s="58"/>
      <c r="M4" s="59"/>
    </row>
    <row r="5" spans="1:13" ht="23">
      <c r="A5" s="3"/>
      <c r="B5" s="29"/>
      <c r="C5" s="344" t="s">
        <v>383</v>
      </c>
      <c r="D5" s="344"/>
      <c r="E5" s="344"/>
      <c r="F5" s="344"/>
      <c r="G5" s="344"/>
      <c r="H5" s="344"/>
      <c r="I5" s="344"/>
      <c r="J5" s="344"/>
      <c r="K5" s="344"/>
      <c r="L5" s="58"/>
      <c r="M5" s="59"/>
    </row>
    <row r="6" spans="1:13" ht="23">
      <c r="A6" s="3"/>
      <c r="B6" s="29"/>
      <c r="C6" s="344" t="s">
        <v>382</v>
      </c>
      <c r="D6" s="344"/>
      <c r="E6" s="344"/>
      <c r="F6" s="344"/>
      <c r="G6" s="344"/>
      <c r="H6" s="344"/>
      <c r="I6" s="344"/>
      <c r="J6" s="344"/>
      <c r="K6" s="344"/>
      <c r="L6" s="58"/>
      <c r="M6" s="59"/>
    </row>
    <row r="7" spans="1:13" ht="24" thickBot="1">
      <c r="A7" s="3"/>
      <c r="B7" s="29"/>
      <c r="C7" s="43"/>
      <c r="D7" s="43"/>
      <c r="E7" s="43"/>
      <c r="F7" s="43"/>
      <c r="G7" s="43"/>
      <c r="H7" s="43"/>
      <c r="I7" s="43"/>
      <c r="J7" s="43"/>
      <c r="K7" s="43"/>
      <c r="L7" s="58"/>
      <c r="M7" s="59"/>
    </row>
    <row r="8" spans="1:13" ht="46" thickBot="1">
      <c r="A8" s="3"/>
      <c r="B8" s="211" t="s">
        <v>1</v>
      </c>
      <c r="C8" s="321" t="s">
        <v>2</v>
      </c>
      <c r="D8" s="212" t="s">
        <v>3</v>
      </c>
      <c r="E8" s="212" t="s">
        <v>4</v>
      </c>
      <c r="F8" s="213" t="s">
        <v>5</v>
      </c>
      <c r="G8" s="213" t="s">
        <v>6</v>
      </c>
      <c r="H8" s="214" t="s">
        <v>7</v>
      </c>
      <c r="I8" s="215" t="s">
        <v>8</v>
      </c>
      <c r="J8" s="215" t="s">
        <v>9</v>
      </c>
      <c r="K8" s="216" t="s">
        <v>250</v>
      </c>
      <c r="L8" s="215" t="s">
        <v>10</v>
      </c>
      <c r="M8" s="217" t="s">
        <v>11</v>
      </c>
    </row>
    <row r="9" spans="1:13" ht="36">
      <c r="A9" s="3"/>
      <c r="B9" s="288">
        <v>1</v>
      </c>
      <c r="C9" s="162" t="s">
        <v>144</v>
      </c>
      <c r="D9" s="162" t="s">
        <v>145</v>
      </c>
      <c r="E9" s="163" t="s">
        <v>146</v>
      </c>
      <c r="F9" s="289">
        <v>37466</v>
      </c>
      <c r="G9" s="289">
        <v>37649</v>
      </c>
      <c r="H9" s="280">
        <f>+G9-F9</f>
        <v>183</v>
      </c>
      <c r="I9" s="290">
        <v>332000</v>
      </c>
      <c r="J9" s="291">
        <f>+H9/I9</f>
        <v>5.5120481927710841E-4</v>
      </c>
      <c r="K9" s="292">
        <v>138700000</v>
      </c>
      <c r="L9" s="293">
        <f>+H9*K9</f>
        <v>25382100000</v>
      </c>
      <c r="M9" s="294">
        <f>+K9/I9</f>
        <v>417.77108433734941</v>
      </c>
    </row>
    <row r="10" spans="1:13" ht="24">
      <c r="A10" s="3"/>
      <c r="B10" s="190">
        <f>+B9+1</f>
        <v>2</v>
      </c>
      <c r="C10" s="53" t="s">
        <v>216</v>
      </c>
      <c r="D10" s="53" t="s">
        <v>217</v>
      </c>
      <c r="E10" s="38" t="s">
        <v>218</v>
      </c>
      <c r="F10" s="131">
        <v>37774</v>
      </c>
      <c r="G10" s="131">
        <v>38137</v>
      </c>
      <c r="H10" s="19">
        <f t="shared" ref="H10:H20" si="0">+G10-F10</f>
        <v>363</v>
      </c>
      <c r="I10" s="52">
        <v>358000</v>
      </c>
      <c r="J10" s="66"/>
      <c r="K10" s="119">
        <v>958500000</v>
      </c>
      <c r="L10" s="67"/>
      <c r="M10" s="192">
        <f>+K10/I10</f>
        <v>2677.3743016759777</v>
      </c>
    </row>
    <row r="11" spans="1:13" ht="24">
      <c r="A11" s="3"/>
      <c r="B11" s="190">
        <f t="shared" ref="B11:B20" si="1">+B10+1</f>
        <v>3</v>
      </c>
      <c r="C11" s="17" t="s">
        <v>175</v>
      </c>
      <c r="D11" s="17" t="s">
        <v>176</v>
      </c>
      <c r="E11" s="18" t="s">
        <v>177</v>
      </c>
      <c r="F11" s="132">
        <v>38235</v>
      </c>
      <c r="G11" s="132">
        <v>38487</v>
      </c>
      <c r="H11" s="19">
        <f t="shared" si="0"/>
        <v>252</v>
      </c>
      <c r="I11" s="20">
        <v>2602000000</v>
      </c>
      <c r="J11" s="21">
        <v>0.5</v>
      </c>
      <c r="K11" s="120">
        <f>+I11*J11</f>
        <v>1301000000</v>
      </c>
      <c r="L11" s="20">
        <f>+K11/2000</f>
        <v>650500</v>
      </c>
      <c r="M11" s="193">
        <f>+K11/381000</f>
        <v>3414.6981627296586</v>
      </c>
    </row>
    <row r="12" spans="1:13" ht="36">
      <c r="A12" s="3"/>
      <c r="B12" s="190">
        <f t="shared" si="1"/>
        <v>4</v>
      </c>
      <c r="C12" s="28" t="s">
        <v>193</v>
      </c>
      <c r="D12" s="28" t="s">
        <v>194</v>
      </c>
      <c r="E12" s="33" t="s">
        <v>195</v>
      </c>
      <c r="F12" s="129">
        <v>41017</v>
      </c>
      <c r="G12" s="129">
        <v>41261</v>
      </c>
      <c r="H12" s="19">
        <f t="shared" si="0"/>
        <v>244</v>
      </c>
      <c r="I12" s="35">
        <v>1486327296.6500001</v>
      </c>
      <c r="J12" s="36">
        <v>0.5</v>
      </c>
      <c r="K12" s="113">
        <v>743163648.33000004</v>
      </c>
      <c r="L12" s="35">
        <v>371581.82</v>
      </c>
      <c r="M12" s="276">
        <v>1387.53</v>
      </c>
    </row>
    <row r="13" spans="1:13" ht="24">
      <c r="A13" s="3"/>
      <c r="B13" s="190">
        <f t="shared" si="1"/>
        <v>5</v>
      </c>
      <c r="C13" s="28" t="s">
        <v>196</v>
      </c>
      <c r="D13" s="28" t="s">
        <v>197</v>
      </c>
      <c r="E13" s="33" t="s">
        <v>198</v>
      </c>
      <c r="F13" s="129">
        <v>41155</v>
      </c>
      <c r="G13" s="129">
        <v>41223</v>
      </c>
      <c r="H13" s="19">
        <f t="shared" si="0"/>
        <v>68</v>
      </c>
      <c r="I13" s="35">
        <v>87705668</v>
      </c>
      <c r="J13" s="36">
        <v>1</v>
      </c>
      <c r="K13" s="113">
        <v>87705668</v>
      </c>
      <c r="L13" s="35">
        <v>43852.83</v>
      </c>
      <c r="M13" s="276">
        <v>163.75</v>
      </c>
    </row>
    <row r="14" spans="1:13" ht="24">
      <c r="A14" s="3"/>
      <c r="B14" s="190">
        <f t="shared" si="1"/>
        <v>6</v>
      </c>
      <c r="C14" s="28" t="s">
        <v>199</v>
      </c>
      <c r="D14" s="28" t="s">
        <v>200</v>
      </c>
      <c r="E14" s="33" t="s">
        <v>201</v>
      </c>
      <c r="F14" s="129">
        <v>41620</v>
      </c>
      <c r="G14" s="129">
        <v>41682</v>
      </c>
      <c r="H14" s="19">
        <f t="shared" si="0"/>
        <v>62</v>
      </c>
      <c r="I14" s="35">
        <v>252314000</v>
      </c>
      <c r="J14" s="36">
        <v>1</v>
      </c>
      <c r="K14" s="113">
        <v>252314000</v>
      </c>
      <c r="L14" s="35">
        <v>126157</v>
      </c>
      <c r="M14" s="276">
        <v>409.6</v>
      </c>
    </row>
    <row r="15" spans="1:13" ht="36">
      <c r="A15" s="3"/>
      <c r="B15" s="190">
        <f t="shared" si="1"/>
        <v>7</v>
      </c>
      <c r="C15" s="53" t="s">
        <v>226</v>
      </c>
      <c r="D15" s="53" t="s">
        <v>227</v>
      </c>
      <c r="E15" s="38" t="s">
        <v>228</v>
      </c>
      <c r="F15" s="131">
        <v>39828</v>
      </c>
      <c r="G15" s="131">
        <v>40040</v>
      </c>
      <c r="H15" s="19">
        <f t="shared" si="0"/>
        <v>212</v>
      </c>
      <c r="I15" s="52">
        <v>496900</v>
      </c>
      <c r="J15" s="95"/>
      <c r="K15" s="119">
        <v>645790000</v>
      </c>
      <c r="L15" s="96"/>
      <c r="M15" s="271">
        <v>1299.6400000000001</v>
      </c>
    </row>
    <row r="16" spans="1:13" ht="36">
      <c r="B16" s="190">
        <f t="shared" si="1"/>
        <v>8</v>
      </c>
      <c r="C16" s="53" t="s">
        <v>229</v>
      </c>
      <c r="D16" s="53" t="s">
        <v>230</v>
      </c>
      <c r="E16" s="38" t="s">
        <v>231</v>
      </c>
      <c r="F16" s="131">
        <v>40055</v>
      </c>
      <c r="G16" s="131">
        <v>40162</v>
      </c>
      <c r="H16" s="19">
        <f t="shared" si="0"/>
        <v>107</v>
      </c>
      <c r="I16" s="52">
        <v>496900</v>
      </c>
      <c r="J16" s="95"/>
      <c r="K16" s="119">
        <v>415320495</v>
      </c>
      <c r="L16" s="96"/>
      <c r="M16" s="271">
        <v>835.82</v>
      </c>
    </row>
    <row r="17" spans="1:13" ht="36">
      <c r="B17" s="190">
        <f t="shared" si="1"/>
        <v>9</v>
      </c>
      <c r="C17" s="53" t="s">
        <v>232</v>
      </c>
      <c r="D17" s="53" t="s">
        <v>280</v>
      </c>
      <c r="E17" s="38" t="s">
        <v>440</v>
      </c>
      <c r="F17" s="131">
        <v>40180</v>
      </c>
      <c r="G17" s="131">
        <v>40481</v>
      </c>
      <c r="H17" s="19">
        <f t="shared" si="0"/>
        <v>301</v>
      </c>
      <c r="I17" s="63">
        <v>515000</v>
      </c>
      <c r="J17" s="95"/>
      <c r="K17" s="119">
        <v>650000000</v>
      </c>
      <c r="L17" s="96"/>
      <c r="M17" s="271">
        <v>1262.1400000000001</v>
      </c>
    </row>
    <row r="18" spans="1:13" ht="24">
      <c r="B18" s="190">
        <f t="shared" si="1"/>
        <v>10</v>
      </c>
      <c r="C18" s="53" t="s">
        <v>237</v>
      </c>
      <c r="D18" s="53" t="s">
        <v>238</v>
      </c>
      <c r="E18" s="38" t="s">
        <v>239</v>
      </c>
      <c r="F18" s="131">
        <v>41001</v>
      </c>
      <c r="G18" s="131">
        <v>41485</v>
      </c>
      <c r="H18" s="19">
        <f t="shared" si="0"/>
        <v>484</v>
      </c>
      <c r="I18" s="63">
        <v>589500</v>
      </c>
      <c r="J18" s="95"/>
      <c r="K18" s="119">
        <v>1050000000</v>
      </c>
      <c r="L18" s="96"/>
      <c r="M18" s="271">
        <v>1781.17</v>
      </c>
    </row>
    <row r="19" spans="1:13" ht="36">
      <c r="B19" s="190">
        <f t="shared" si="1"/>
        <v>11</v>
      </c>
      <c r="C19" s="53" t="s">
        <v>240</v>
      </c>
      <c r="D19" s="53" t="s">
        <v>233</v>
      </c>
      <c r="E19" s="38" t="s">
        <v>249</v>
      </c>
      <c r="F19" s="131">
        <v>41749</v>
      </c>
      <c r="G19" s="131">
        <v>42732</v>
      </c>
      <c r="H19" s="19">
        <f t="shared" si="0"/>
        <v>983</v>
      </c>
      <c r="I19" s="64">
        <v>616000</v>
      </c>
      <c r="J19" s="66"/>
      <c r="K19" s="119">
        <f>755825000*4</f>
        <v>3023300000</v>
      </c>
      <c r="L19" s="67"/>
      <c r="M19" s="192">
        <f>+K19/I19</f>
        <v>4907.954545454545</v>
      </c>
    </row>
    <row r="20" spans="1:13" ht="37" thickBot="1">
      <c r="B20" s="272">
        <f t="shared" si="1"/>
        <v>12</v>
      </c>
      <c r="C20" s="196" t="s">
        <v>241</v>
      </c>
      <c r="D20" s="196" t="s">
        <v>242</v>
      </c>
      <c r="E20" s="195" t="s">
        <v>243</v>
      </c>
      <c r="F20" s="197">
        <v>42755</v>
      </c>
      <c r="G20" s="197">
        <v>43036</v>
      </c>
      <c r="H20" s="287">
        <f t="shared" si="0"/>
        <v>281</v>
      </c>
      <c r="I20" s="199">
        <v>737717</v>
      </c>
      <c r="J20" s="200"/>
      <c r="K20" s="201">
        <v>353204950</v>
      </c>
      <c r="L20" s="202"/>
      <c r="M20" s="273">
        <v>478.78</v>
      </c>
    </row>
    <row r="21" spans="1:13">
      <c r="B21" s="285"/>
      <c r="C21" s="219"/>
      <c r="D21" s="219"/>
      <c r="E21" s="218"/>
      <c r="F21" s="219"/>
      <c r="G21" s="219"/>
      <c r="H21" s="218"/>
      <c r="I21" s="218"/>
      <c r="J21" s="218"/>
      <c r="K21" s="218"/>
      <c r="L21" s="218"/>
      <c r="M21" s="218"/>
    </row>
    <row r="22" spans="1:13">
      <c r="A22" s="3"/>
      <c r="B22" s="186"/>
      <c r="C22" s="181"/>
      <c r="D22" s="181"/>
      <c r="E22"/>
      <c r="F22" s="181"/>
      <c r="G22" s="181"/>
      <c r="H22"/>
      <c r="I22"/>
      <c r="J22"/>
      <c r="K22" s="127"/>
    </row>
    <row r="23" spans="1:13">
      <c r="A23" s="3"/>
      <c r="B23" s="186"/>
      <c r="C23" s="181"/>
      <c r="D23" s="181"/>
      <c r="E23"/>
      <c r="F23" s="181"/>
      <c r="G23" s="181"/>
      <c r="H23"/>
      <c r="I23"/>
      <c r="J23"/>
      <c r="K23" s="127"/>
    </row>
    <row r="24" spans="1:13">
      <c r="A24" s="3"/>
      <c r="B24" s="186"/>
      <c r="C24" s="181"/>
      <c r="D24" s="181"/>
      <c r="E24"/>
      <c r="F24" s="181"/>
      <c r="G24" s="181"/>
      <c r="H24"/>
      <c r="I24"/>
      <c r="J24"/>
      <c r="K24" s="127"/>
    </row>
    <row r="25" spans="1:13">
      <c r="A25" s="3"/>
      <c r="B25" s="186"/>
      <c r="C25" s="181"/>
      <c r="D25" s="181"/>
      <c r="E25"/>
      <c r="F25" s="181"/>
      <c r="G25" s="181"/>
      <c r="H25"/>
      <c r="I25"/>
      <c r="J25"/>
      <c r="K25" s="127"/>
    </row>
    <row r="26" spans="1:13">
      <c r="A26" s="3"/>
      <c r="B26" s="186"/>
      <c r="C26" s="181"/>
      <c r="D26" s="181"/>
      <c r="E26"/>
      <c r="F26" s="181"/>
      <c r="G26" s="181"/>
      <c r="H26"/>
      <c r="I26"/>
      <c r="J26"/>
      <c r="K26" s="127"/>
    </row>
    <row r="27" spans="1:13">
      <c r="A27" s="3"/>
      <c r="B27" s="186"/>
      <c r="C27" s="181"/>
      <c r="D27" s="181"/>
      <c r="E27"/>
      <c r="F27" s="181"/>
      <c r="G27" s="181"/>
      <c r="H27"/>
      <c r="I27"/>
      <c r="J27"/>
      <c r="K27" s="127"/>
      <c r="L27" s="3"/>
      <c r="M27" s="3"/>
    </row>
    <row r="28" spans="1:13">
      <c r="A28" s="3"/>
      <c r="B28" s="186"/>
      <c r="C28" s="181"/>
      <c r="D28" s="181"/>
      <c r="E28"/>
      <c r="F28" s="181"/>
      <c r="G28" s="181"/>
      <c r="H28"/>
      <c r="I28"/>
      <c r="J28"/>
      <c r="K28" s="127"/>
      <c r="L28" s="3"/>
      <c r="M28" s="3"/>
    </row>
    <row r="29" spans="1:13">
      <c r="A29" s="3"/>
      <c r="B29" s="186"/>
      <c r="C29" s="181"/>
      <c r="D29" s="181"/>
      <c r="E29"/>
      <c r="F29" s="181"/>
      <c r="G29" s="181"/>
      <c r="H29"/>
      <c r="I29"/>
      <c r="J29"/>
      <c r="K29" s="127"/>
      <c r="L29" s="3"/>
      <c r="M29" s="3"/>
    </row>
    <row r="30" spans="1:13">
      <c r="A30" s="3"/>
      <c r="B30" s="186"/>
      <c r="C30" s="181"/>
      <c r="D30" s="181"/>
      <c r="E30"/>
      <c r="F30" s="181"/>
      <c r="G30" s="181"/>
      <c r="H30"/>
      <c r="I30"/>
      <c r="J30"/>
      <c r="K30" s="127"/>
      <c r="L30" s="3"/>
      <c r="M30" s="3"/>
    </row>
    <row r="31" spans="1:13">
      <c r="A31" s="3"/>
      <c r="B31" s="186"/>
      <c r="C31" s="181"/>
      <c r="D31" s="181"/>
      <c r="E31"/>
      <c r="F31" s="181"/>
      <c r="G31" s="181"/>
      <c r="H31"/>
      <c r="I31"/>
      <c r="J31"/>
      <c r="K31" s="127"/>
      <c r="L31" s="3"/>
      <c r="M31" s="3"/>
    </row>
    <row r="32" spans="1:13">
      <c r="A32" s="3"/>
      <c r="B32" s="186"/>
      <c r="C32" s="181"/>
      <c r="D32" s="181"/>
      <c r="E32"/>
      <c r="F32" s="181"/>
      <c r="G32" s="181"/>
      <c r="H32"/>
      <c r="I32"/>
      <c r="J32"/>
      <c r="K32" s="127"/>
      <c r="L32" s="3"/>
      <c r="M32" s="3"/>
    </row>
    <row r="33" spans="1:13">
      <c r="A33" s="3"/>
      <c r="B33" s="186"/>
      <c r="C33" s="181"/>
      <c r="D33" s="181"/>
      <c r="E33"/>
      <c r="F33" s="181"/>
      <c r="G33" s="181"/>
      <c r="H33"/>
      <c r="I33"/>
      <c r="J33"/>
      <c r="K33" s="127"/>
      <c r="L33" s="3"/>
      <c r="M33" s="3"/>
    </row>
    <row r="34" spans="1:13">
      <c r="A34" s="3"/>
      <c r="B34" s="186"/>
      <c r="C34" s="181"/>
      <c r="D34" s="181"/>
      <c r="E34"/>
      <c r="F34" s="181"/>
      <c r="G34" s="181"/>
      <c r="H34"/>
      <c r="I34"/>
      <c r="J34"/>
      <c r="K34" s="127"/>
      <c r="L34" s="3"/>
      <c r="M34" s="3"/>
    </row>
    <row r="35" spans="1:13">
      <c r="A35" s="3"/>
      <c r="B35" s="186"/>
      <c r="C35" s="181"/>
      <c r="D35" s="181"/>
      <c r="E35"/>
      <c r="F35" s="181"/>
      <c r="G35" s="181"/>
      <c r="H35"/>
      <c r="I35"/>
      <c r="J35"/>
      <c r="K35" s="127"/>
      <c r="L35" s="3"/>
      <c r="M35" s="3"/>
    </row>
  </sheetData>
  <sheetProtection password="C23C" sheet="1" objects="1" scenarios="1" selectLockedCells="1" selectUnlockedCells="1"/>
  <mergeCells count="2">
    <mergeCell ref="C5:K5"/>
    <mergeCell ref="C6:K6"/>
  </mergeCells>
  <phoneticPr fontId="18" type="noConversion"/>
  <pageMargins left="0.75000000000000011" right="0.75000000000000011" top="1" bottom="1" header="0.5" footer="0.5"/>
  <pageSetup scale="62" orientation="portrait" horizontalDpi="4294967292" verticalDpi="4294967292"/>
  <extLst>
    <ext xmlns:mx="http://schemas.microsoft.com/office/mac/excel/2008/main" uri="{64002731-A6B0-56B0-2670-7721B7C09600}">
      <mx:PLV Mode="0" OnePage="0" WScale="10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W23"/>
  <sheetViews>
    <sheetView topLeftCell="B1" workbookViewId="0">
      <selection activeCell="B1" sqref="B1"/>
    </sheetView>
  </sheetViews>
  <sheetFormatPr baseColWidth="10" defaultRowHeight="15" x14ac:dyDescent="0"/>
  <cols>
    <col min="1" max="1" width="1.33203125" style="1" hidden="1" customWidth="1"/>
    <col min="2" max="2" width="4.33203125" style="184" customWidth="1"/>
    <col min="3" max="3" width="15.83203125" style="333" customWidth="1"/>
    <col min="4" max="4" width="20.83203125" style="15" customWidth="1"/>
    <col min="5" max="5" width="40.83203125" style="3" customWidth="1"/>
    <col min="6" max="7" width="10.83203125" style="144" customWidth="1"/>
    <col min="8" max="8" width="8.1640625" style="6" hidden="1" customWidth="1"/>
    <col min="9" max="9" width="14.5" style="4" hidden="1" customWidth="1"/>
    <col min="10" max="10" width="9.83203125" style="7" hidden="1" customWidth="1"/>
    <col min="11" max="11" width="15.83203125" style="117" customWidth="1"/>
    <col min="12" max="12" width="15.33203125" style="4" hidden="1" customWidth="1"/>
    <col min="13" max="13" width="15.83203125" style="7" customWidth="1"/>
    <col min="14" max="16384" width="10.83203125" style="3"/>
  </cols>
  <sheetData>
    <row r="1" spans="1:23">
      <c r="B1" s="285"/>
      <c r="C1" s="219"/>
      <c r="D1" s="219"/>
      <c r="E1" s="218"/>
      <c r="F1" s="219"/>
      <c r="G1" s="219"/>
      <c r="H1" s="218"/>
      <c r="I1" s="218"/>
      <c r="J1" s="218"/>
      <c r="K1" s="218"/>
      <c r="L1" s="218"/>
      <c r="M1" s="218"/>
    </row>
    <row r="2" spans="1:23" ht="18">
      <c r="A2" s="160"/>
      <c r="B2" s="16"/>
      <c r="C2" s="355" t="s">
        <v>0</v>
      </c>
      <c r="D2" s="355"/>
      <c r="E2" s="355"/>
      <c r="F2" s="355"/>
      <c r="G2" s="355"/>
      <c r="H2" s="355"/>
      <c r="I2" s="355"/>
      <c r="J2" s="355"/>
      <c r="K2" s="355"/>
      <c r="L2" s="107"/>
      <c r="M2" s="107"/>
      <c r="N2" s="107"/>
      <c r="O2" s="107"/>
      <c r="P2" s="107"/>
      <c r="Q2" s="107"/>
      <c r="R2" s="107"/>
      <c r="S2" s="107"/>
      <c r="T2" s="107"/>
      <c r="U2" s="107"/>
      <c r="V2" s="107"/>
      <c r="W2" s="107"/>
    </row>
    <row r="3" spans="1:23" ht="18">
      <c r="A3" s="160"/>
      <c r="B3" s="16"/>
      <c r="C3" s="356" t="s">
        <v>256</v>
      </c>
      <c r="D3" s="356"/>
      <c r="E3" s="356"/>
      <c r="F3" s="356"/>
      <c r="G3" s="356"/>
      <c r="H3" s="356"/>
      <c r="I3" s="356"/>
      <c r="J3" s="356"/>
      <c r="K3" s="356"/>
      <c r="L3" s="107"/>
      <c r="M3" s="107"/>
      <c r="N3" s="107"/>
      <c r="O3" s="107"/>
      <c r="P3" s="107"/>
      <c r="Q3" s="107"/>
      <c r="R3" s="107"/>
      <c r="S3" s="107"/>
      <c r="T3" s="107"/>
      <c r="U3" s="107"/>
      <c r="V3" s="107"/>
      <c r="W3" s="107"/>
    </row>
    <row r="4" spans="1:23">
      <c r="A4" s="174"/>
      <c r="B4" s="187"/>
      <c r="C4" s="174"/>
      <c r="D4" s="174"/>
      <c r="E4" s="176"/>
      <c r="F4" s="238"/>
      <c r="G4" s="177"/>
      <c r="H4" s="178"/>
      <c r="I4" s="10"/>
      <c r="J4" s="107"/>
      <c r="K4" s="107"/>
      <c r="L4" s="107"/>
      <c r="M4" s="107"/>
      <c r="N4" s="107"/>
      <c r="O4" s="107"/>
      <c r="P4" s="107"/>
      <c r="Q4" s="107"/>
      <c r="R4" s="107"/>
      <c r="S4" s="107"/>
      <c r="T4" s="107"/>
      <c r="U4" s="107"/>
      <c r="V4" s="107"/>
      <c r="W4" s="107"/>
    </row>
    <row r="5" spans="1:23" ht="23">
      <c r="B5" s="29"/>
      <c r="C5" s="344" t="s">
        <v>362</v>
      </c>
      <c r="D5" s="344"/>
      <c r="E5" s="344"/>
      <c r="F5" s="344"/>
      <c r="G5" s="344"/>
      <c r="H5" s="344"/>
      <c r="I5" s="344"/>
      <c r="J5" s="344"/>
      <c r="K5" s="344"/>
      <c r="L5" s="30"/>
      <c r="M5" s="30"/>
    </row>
    <row r="6" spans="1:23" ht="23">
      <c r="B6" s="29"/>
      <c r="C6" s="344" t="s">
        <v>361</v>
      </c>
      <c r="D6" s="344"/>
      <c r="E6" s="344"/>
      <c r="F6" s="344"/>
      <c r="G6" s="344"/>
      <c r="H6" s="344"/>
      <c r="I6" s="344"/>
      <c r="J6" s="344"/>
      <c r="K6" s="344"/>
      <c r="L6" s="30"/>
      <c r="M6" s="30"/>
    </row>
    <row r="7" spans="1:23" ht="24" thickBot="1">
      <c r="B7" s="29"/>
      <c r="C7" s="43"/>
      <c r="D7" s="43"/>
      <c r="E7" s="43"/>
      <c r="F7" s="43"/>
      <c r="G7" s="43"/>
      <c r="H7" s="43"/>
      <c r="I7" s="43"/>
      <c r="J7" s="43"/>
      <c r="K7" s="43"/>
      <c r="L7" s="30"/>
      <c r="M7" s="30"/>
    </row>
    <row r="8" spans="1:23" ht="46" thickBot="1">
      <c r="B8" s="211" t="s">
        <v>1</v>
      </c>
      <c r="C8" s="321" t="s">
        <v>2</v>
      </c>
      <c r="D8" s="212" t="s">
        <v>3</v>
      </c>
      <c r="E8" s="212" t="s">
        <v>4</v>
      </c>
      <c r="F8" s="213" t="s">
        <v>5</v>
      </c>
      <c r="G8" s="213" t="s">
        <v>6</v>
      </c>
      <c r="H8" s="214" t="s">
        <v>7</v>
      </c>
      <c r="I8" s="215" t="s">
        <v>8</v>
      </c>
      <c r="J8" s="215" t="s">
        <v>9</v>
      </c>
      <c r="K8" s="216" t="s">
        <v>250</v>
      </c>
      <c r="L8" s="215" t="s">
        <v>10</v>
      </c>
      <c r="M8" s="217" t="s">
        <v>11</v>
      </c>
    </row>
    <row r="9" spans="1:23" ht="24">
      <c r="B9" s="288">
        <v>1</v>
      </c>
      <c r="C9" s="162" t="s">
        <v>213</v>
      </c>
      <c r="D9" s="162" t="s">
        <v>214</v>
      </c>
      <c r="E9" s="163" t="s">
        <v>215</v>
      </c>
      <c r="F9" s="164">
        <v>37622</v>
      </c>
      <c r="G9" s="164">
        <v>37985</v>
      </c>
      <c r="H9" s="207"/>
      <c r="I9" s="265">
        <v>332000</v>
      </c>
      <c r="J9" s="209"/>
      <c r="K9" s="148">
        <v>240000000</v>
      </c>
      <c r="L9" s="208"/>
      <c r="M9" s="298">
        <f>+K9/I9</f>
        <v>722.89156626506019</v>
      </c>
    </row>
    <row r="10" spans="1:23" ht="49" thickBot="1">
      <c r="B10" s="272">
        <v>2</v>
      </c>
      <c r="C10" s="196" t="s">
        <v>219</v>
      </c>
      <c r="D10" s="196" t="s">
        <v>220</v>
      </c>
      <c r="E10" s="195" t="s">
        <v>441</v>
      </c>
      <c r="F10" s="197">
        <v>38640</v>
      </c>
      <c r="G10" s="197">
        <v>38701</v>
      </c>
      <c r="H10" s="295"/>
      <c r="I10" s="199">
        <v>381500</v>
      </c>
      <c r="J10" s="296"/>
      <c r="K10" s="201">
        <v>150000000</v>
      </c>
      <c r="L10" s="297"/>
      <c r="M10" s="203">
        <f>+K10/I10</f>
        <v>393.18479685452161</v>
      </c>
    </row>
    <row r="11" spans="1:23">
      <c r="B11" s="186"/>
      <c r="C11" s="181"/>
      <c r="D11" s="181"/>
      <c r="E11"/>
      <c r="F11" s="181"/>
      <c r="G11" s="181"/>
      <c r="H11"/>
      <c r="I11"/>
      <c r="J11"/>
      <c r="K11"/>
      <c r="L11"/>
      <c r="M11"/>
    </row>
    <row r="12" spans="1:23">
      <c r="A12" s="3"/>
      <c r="B12" s="186"/>
      <c r="C12" s="181"/>
      <c r="D12" s="181"/>
      <c r="E12"/>
      <c r="F12" s="181"/>
      <c r="G12" s="181"/>
      <c r="H12"/>
      <c r="I12"/>
      <c r="J12"/>
      <c r="K12" s="127"/>
    </row>
    <row r="13" spans="1:23">
      <c r="A13" s="3"/>
      <c r="B13" s="186"/>
      <c r="C13" s="181"/>
      <c r="D13" s="181"/>
      <c r="E13"/>
      <c r="F13" s="181"/>
      <c r="G13" s="181"/>
      <c r="H13"/>
      <c r="I13"/>
      <c r="J13"/>
      <c r="K13" s="127"/>
    </row>
    <row r="14" spans="1:23">
      <c r="A14" s="3"/>
      <c r="B14" s="186"/>
      <c r="C14" s="181"/>
      <c r="D14" s="181"/>
      <c r="E14"/>
      <c r="F14" s="181"/>
      <c r="G14" s="181"/>
      <c r="H14"/>
      <c r="I14"/>
      <c r="J14"/>
      <c r="K14" s="127"/>
    </row>
    <row r="15" spans="1:23">
      <c r="A15" s="3"/>
      <c r="B15" s="186"/>
      <c r="C15" s="181"/>
      <c r="D15" s="181"/>
      <c r="E15"/>
      <c r="F15" s="181"/>
      <c r="G15" s="181"/>
      <c r="H15"/>
      <c r="I15"/>
      <c r="J15"/>
      <c r="K15" s="127"/>
      <c r="L15" s="3"/>
      <c r="M15" s="3"/>
    </row>
    <row r="16" spans="1:23">
      <c r="A16" s="3"/>
      <c r="B16" s="186"/>
      <c r="C16" s="181"/>
      <c r="D16" s="181"/>
      <c r="E16"/>
      <c r="F16" s="181"/>
      <c r="G16" s="181"/>
      <c r="H16"/>
      <c r="I16"/>
      <c r="J16"/>
      <c r="K16" s="127"/>
      <c r="L16" s="3"/>
      <c r="M16" s="3"/>
    </row>
    <row r="17" spans="1:13">
      <c r="A17" s="3"/>
      <c r="B17" s="186"/>
      <c r="C17" s="181"/>
      <c r="D17" s="181"/>
      <c r="E17"/>
      <c r="F17" s="181"/>
      <c r="G17" s="181"/>
      <c r="H17"/>
      <c r="I17"/>
      <c r="J17"/>
      <c r="K17" s="127"/>
      <c r="L17" s="3"/>
      <c r="M17" s="3"/>
    </row>
    <row r="18" spans="1:13">
      <c r="A18" s="3"/>
      <c r="B18" s="186"/>
      <c r="C18" s="181"/>
      <c r="D18" s="181"/>
      <c r="E18"/>
      <c r="F18" s="181"/>
      <c r="G18" s="181"/>
      <c r="H18"/>
      <c r="I18"/>
      <c r="J18"/>
      <c r="K18" s="127"/>
      <c r="L18" s="3"/>
      <c r="M18" s="3"/>
    </row>
    <row r="19" spans="1:13">
      <c r="A19" s="3"/>
      <c r="B19" s="186"/>
      <c r="C19" s="181"/>
      <c r="D19" s="181"/>
      <c r="E19"/>
      <c r="F19" s="181"/>
      <c r="G19" s="181"/>
      <c r="H19"/>
      <c r="I19"/>
      <c r="J19"/>
      <c r="K19" s="127"/>
      <c r="L19" s="3"/>
      <c r="M19" s="3"/>
    </row>
    <row r="20" spans="1:13">
      <c r="A20" s="3"/>
      <c r="B20" s="186"/>
      <c r="C20" s="181"/>
      <c r="D20" s="181"/>
      <c r="E20"/>
      <c r="F20" s="181"/>
      <c r="G20" s="181"/>
      <c r="H20"/>
      <c r="I20"/>
      <c r="J20"/>
      <c r="K20" s="127"/>
      <c r="L20" s="3"/>
      <c r="M20" s="3"/>
    </row>
    <row r="21" spans="1:13">
      <c r="A21" s="3"/>
      <c r="B21" s="186"/>
      <c r="C21" s="181"/>
      <c r="D21" s="181"/>
      <c r="E21"/>
      <c r="F21" s="181"/>
      <c r="G21" s="181"/>
      <c r="H21"/>
      <c r="I21"/>
      <c r="J21"/>
      <c r="K21" s="127"/>
      <c r="L21" s="3"/>
      <c r="M21" s="3"/>
    </row>
    <row r="22" spans="1:13">
      <c r="A22" s="3"/>
      <c r="B22" s="186"/>
      <c r="C22" s="181"/>
      <c r="D22" s="181"/>
      <c r="E22"/>
      <c r="F22" s="181"/>
      <c r="G22" s="181"/>
      <c r="H22"/>
      <c r="I22"/>
      <c r="J22"/>
      <c r="K22" s="127"/>
      <c r="L22" s="3"/>
      <c r="M22" s="3"/>
    </row>
    <row r="23" spans="1:13">
      <c r="A23" s="3"/>
      <c r="B23" s="186"/>
      <c r="C23" s="181"/>
      <c r="D23" s="181"/>
      <c r="E23"/>
      <c r="F23" s="181"/>
      <c r="G23" s="181"/>
      <c r="H23"/>
      <c r="I23"/>
      <c r="J23"/>
      <c r="K23" s="127"/>
      <c r="L23" s="3"/>
      <c r="M23" s="3"/>
    </row>
  </sheetData>
  <sheetProtection password="C23C" sheet="1" objects="1" scenarios="1" selectLockedCells="1" selectUnlockedCells="1"/>
  <mergeCells count="4">
    <mergeCell ref="C2:K2"/>
    <mergeCell ref="C3:K3"/>
    <mergeCell ref="C5:K5"/>
    <mergeCell ref="C6:K6"/>
  </mergeCells>
  <phoneticPr fontId="18" type="noConversion"/>
  <pageMargins left="0.75000000000000011" right="0.75000000000000011" top="1" bottom="1" header="0.5" footer="0.5"/>
  <pageSetup scale="62" orientation="portrait" horizontalDpi="4294967292" verticalDpi="4294967292"/>
  <extLst>
    <ext xmlns:mx="http://schemas.microsoft.com/office/mac/excel/2008/main" uri="{64002731-A6B0-56B0-2670-7721B7C09600}">
      <mx:PLV Mode="0" OnePage="0" WScale="10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N38"/>
  <sheetViews>
    <sheetView topLeftCell="B1" workbookViewId="0">
      <selection activeCell="B1" sqref="B1"/>
    </sheetView>
  </sheetViews>
  <sheetFormatPr baseColWidth="10" defaultRowHeight="15" x14ac:dyDescent="0"/>
  <cols>
    <col min="1" max="1" width="1.33203125" style="1" hidden="1" customWidth="1"/>
    <col min="2" max="2" width="4.33203125" style="184" customWidth="1"/>
    <col min="3" max="3" width="15.83203125" style="333" customWidth="1"/>
    <col min="4" max="4" width="20.83203125" style="15" customWidth="1"/>
    <col min="5" max="5" width="40.83203125" style="3" customWidth="1"/>
    <col min="6" max="7" width="10.83203125" style="144" customWidth="1"/>
    <col min="8" max="8" width="8.1640625" style="6" hidden="1" customWidth="1"/>
    <col min="9" max="9" width="14.5" style="4" hidden="1" customWidth="1"/>
    <col min="10" max="10" width="9.83203125" style="7" hidden="1" customWidth="1"/>
    <col min="11" max="11" width="15.83203125" style="117" customWidth="1"/>
    <col min="12" max="12" width="15.33203125" style="4" hidden="1" customWidth="1"/>
    <col min="13" max="13" width="15.83203125" style="7" customWidth="1"/>
    <col min="14" max="16384" width="10.83203125" style="3"/>
  </cols>
  <sheetData>
    <row r="1" spans="1:14">
      <c r="B1" s="186"/>
      <c r="C1" s="181"/>
      <c r="D1" s="181"/>
      <c r="E1"/>
      <c r="F1" s="181"/>
      <c r="G1" s="181"/>
      <c r="H1"/>
      <c r="I1"/>
      <c r="J1"/>
      <c r="K1"/>
      <c r="L1"/>
      <c r="M1"/>
    </row>
    <row r="2" spans="1:14" ht="18">
      <c r="B2" s="70"/>
      <c r="C2" s="355" t="s">
        <v>0</v>
      </c>
      <c r="D2" s="355"/>
      <c r="E2" s="355"/>
      <c r="F2" s="355"/>
      <c r="G2" s="355"/>
      <c r="H2" s="355"/>
      <c r="I2" s="355"/>
      <c r="J2" s="355"/>
      <c r="K2" s="355"/>
      <c r="L2" s="97"/>
      <c r="M2" s="147"/>
      <c r="N2" s="77"/>
    </row>
    <row r="3" spans="1:14" ht="18">
      <c r="A3" s="3"/>
      <c r="B3" s="70"/>
      <c r="C3" s="355" t="s">
        <v>256</v>
      </c>
      <c r="D3" s="355"/>
      <c r="E3" s="355"/>
      <c r="F3" s="355"/>
      <c r="G3" s="355"/>
      <c r="H3" s="355"/>
      <c r="I3" s="355"/>
      <c r="J3" s="355"/>
      <c r="K3" s="355"/>
      <c r="L3" s="97"/>
      <c r="M3" s="147"/>
      <c r="N3" s="77"/>
    </row>
    <row r="4" spans="1:14">
      <c r="A4" s="3"/>
      <c r="B4" s="70"/>
      <c r="C4" s="70"/>
      <c r="D4" s="70"/>
      <c r="E4" s="68"/>
      <c r="F4" s="134"/>
      <c r="G4" s="134"/>
      <c r="H4" s="106"/>
      <c r="I4" s="145"/>
      <c r="J4" s="98"/>
      <c r="K4" s="121"/>
      <c r="L4" s="97"/>
      <c r="M4" s="147"/>
      <c r="N4" s="77"/>
    </row>
    <row r="5" spans="1:14" ht="23">
      <c r="A5" s="3"/>
      <c r="B5" s="70"/>
      <c r="C5" s="344" t="s">
        <v>379</v>
      </c>
      <c r="D5" s="344"/>
      <c r="E5" s="344"/>
      <c r="F5" s="344"/>
      <c r="G5" s="344"/>
      <c r="H5" s="344"/>
      <c r="I5" s="344"/>
      <c r="J5" s="344"/>
      <c r="K5" s="344"/>
      <c r="L5" s="97"/>
      <c r="M5" s="147"/>
      <c r="N5" s="77"/>
    </row>
    <row r="6" spans="1:14" ht="23">
      <c r="A6" s="3"/>
      <c r="B6" s="70"/>
      <c r="C6" s="344" t="s">
        <v>378</v>
      </c>
      <c r="D6" s="344"/>
      <c r="E6" s="344"/>
      <c r="F6" s="344"/>
      <c r="G6" s="344"/>
      <c r="H6" s="344"/>
      <c r="I6" s="344"/>
      <c r="J6" s="344"/>
      <c r="K6" s="344"/>
      <c r="L6" s="100"/>
      <c r="M6" s="101"/>
    </row>
    <row r="7" spans="1:14" ht="24" thickBot="1">
      <c r="A7" s="3"/>
      <c r="B7" s="70"/>
      <c r="C7" s="43"/>
      <c r="D7" s="43"/>
      <c r="E7" s="43"/>
      <c r="F7" s="43"/>
      <c r="G7" s="43"/>
      <c r="H7" s="43"/>
      <c r="I7" s="43"/>
      <c r="J7" s="43"/>
      <c r="K7" s="43"/>
      <c r="L7" s="100"/>
      <c r="M7" s="101"/>
    </row>
    <row r="8" spans="1:14" ht="46" thickBot="1">
      <c r="A8" s="3"/>
      <c r="B8" s="211" t="s">
        <v>1</v>
      </c>
      <c r="C8" s="321" t="s">
        <v>2</v>
      </c>
      <c r="D8" s="212" t="s">
        <v>3</v>
      </c>
      <c r="E8" s="212" t="s">
        <v>4</v>
      </c>
      <c r="F8" s="213" t="s">
        <v>5</v>
      </c>
      <c r="G8" s="213" t="s">
        <v>6</v>
      </c>
      <c r="H8" s="214" t="s">
        <v>7</v>
      </c>
      <c r="I8" s="215" t="s">
        <v>8</v>
      </c>
      <c r="J8" s="215" t="s">
        <v>9</v>
      </c>
      <c r="K8" s="216" t="s">
        <v>250</v>
      </c>
      <c r="L8" s="215" t="s">
        <v>10</v>
      </c>
      <c r="M8" s="217" t="s">
        <v>11</v>
      </c>
    </row>
    <row r="9" spans="1:14" ht="24">
      <c r="A9" s="3"/>
      <c r="B9" s="288">
        <v>1</v>
      </c>
      <c r="C9" s="162" t="s">
        <v>109</v>
      </c>
      <c r="D9" s="162" t="s">
        <v>110</v>
      </c>
      <c r="E9" s="163" t="s">
        <v>111</v>
      </c>
      <c r="F9" s="289">
        <v>34708</v>
      </c>
      <c r="G9" s="289">
        <v>34920</v>
      </c>
      <c r="H9" s="290">
        <v>51369757</v>
      </c>
      <c r="I9" s="290">
        <v>118934</v>
      </c>
      <c r="J9" s="291">
        <f t="shared" ref="J9:J19" si="0">+H9/I9</f>
        <v>431.91818151243547</v>
      </c>
      <c r="K9" s="292">
        <v>51369757</v>
      </c>
      <c r="L9" s="293">
        <f t="shared" ref="L9:L19" si="1">+H9*K9</f>
        <v>2638851934239049</v>
      </c>
      <c r="M9" s="294">
        <f t="shared" ref="M9:M19" si="2">+K9/I9</f>
        <v>431.91818151243547</v>
      </c>
    </row>
    <row r="10" spans="1:14" ht="24">
      <c r="A10" s="3"/>
      <c r="B10" s="190">
        <v>2</v>
      </c>
      <c r="C10" s="53">
        <v>15995</v>
      </c>
      <c r="D10" s="53" t="s">
        <v>114</v>
      </c>
      <c r="E10" s="38" t="s">
        <v>115</v>
      </c>
      <c r="F10" s="133">
        <v>35096</v>
      </c>
      <c r="G10" s="133">
        <v>35335</v>
      </c>
      <c r="H10" s="60">
        <v>157512173</v>
      </c>
      <c r="I10" s="60">
        <v>142125</v>
      </c>
      <c r="J10" s="61">
        <f t="shared" si="0"/>
        <v>1108.2650694810907</v>
      </c>
      <c r="K10" s="51">
        <v>157512173</v>
      </c>
      <c r="L10" s="62">
        <f t="shared" si="1"/>
        <v>2.4810084643181928E+16</v>
      </c>
      <c r="M10" s="286">
        <f t="shared" si="2"/>
        <v>1108.2650694810907</v>
      </c>
    </row>
    <row r="11" spans="1:14">
      <c r="A11" s="3"/>
      <c r="B11" s="190">
        <v>3</v>
      </c>
      <c r="C11" s="53" t="s">
        <v>116</v>
      </c>
      <c r="D11" s="53" t="s">
        <v>117</v>
      </c>
      <c r="E11" s="38" t="s">
        <v>118</v>
      </c>
      <c r="F11" s="133">
        <v>35394</v>
      </c>
      <c r="G11" s="133">
        <v>35727</v>
      </c>
      <c r="H11" s="60">
        <v>312293426</v>
      </c>
      <c r="I11" s="60">
        <v>172005</v>
      </c>
      <c r="J11" s="61">
        <f t="shared" si="0"/>
        <v>1815.6066742245864</v>
      </c>
      <c r="K11" s="51">
        <v>156146713</v>
      </c>
      <c r="L11" s="62">
        <f t="shared" si="1"/>
        <v>4.8763591961408736E+16</v>
      </c>
      <c r="M11" s="286">
        <f t="shared" si="2"/>
        <v>907.80333711229321</v>
      </c>
    </row>
    <row r="12" spans="1:14" ht="24">
      <c r="A12" s="3"/>
      <c r="B12" s="190">
        <v>4</v>
      </c>
      <c r="C12" s="53" t="s">
        <v>124</v>
      </c>
      <c r="D12" s="53" t="s">
        <v>125</v>
      </c>
      <c r="E12" s="38" t="s">
        <v>126</v>
      </c>
      <c r="F12" s="133">
        <v>35653</v>
      </c>
      <c r="G12" s="133">
        <v>35726</v>
      </c>
      <c r="H12" s="60">
        <v>100615394</v>
      </c>
      <c r="I12" s="60">
        <v>172005</v>
      </c>
      <c r="J12" s="61">
        <f t="shared" si="0"/>
        <v>584.95621638905845</v>
      </c>
      <c r="K12" s="51">
        <v>100615394</v>
      </c>
      <c r="L12" s="62">
        <f t="shared" si="1"/>
        <v>1.0123457509775236E+16</v>
      </c>
      <c r="M12" s="286">
        <f t="shared" si="2"/>
        <v>584.95621638905845</v>
      </c>
    </row>
    <row r="13" spans="1:14" ht="24">
      <c r="A13" s="3"/>
      <c r="B13" s="190">
        <v>5</v>
      </c>
      <c r="C13" s="53" t="s">
        <v>129</v>
      </c>
      <c r="D13" s="53" t="s">
        <v>117</v>
      </c>
      <c r="E13" s="38" t="s">
        <v>130</v>
      </c>
      <c r="F13" s="133">
        <v>35718</v>
      </c>
      <c r="G13" s="133">
        <v>36036</v>
      </c>
      <c r="H13" s="60">
        <v>966728826</v>
      </c>
      <c r="I13" s="60">
        <v>203826</v>
      </c>
      <c r="J13" s="61">
        <f t="shared" si="0"/>
        <v>4742.9122192458271</v>
      </c>
      <c r="K13" s="51">
        <v>483364413</v>
      </c>
      <c r="L13" s="62">
        <f t="shared" si="1"/>
        <v>4.6728231150966912E+17</v>
      </c>
      <c r="M13" s="286">
        <f t="shared" si="2"/>
        <v>2371.4561096229136</v>
      </c>
    </row>
    <row r="14" spans="1:14" ht="24">
      <c r="A14" s="3"/>
      <c r="B14" s="190">
        <v>6</v>
      </c>
      <c r="C14" s="53" t="s">
        <v>134</v>
      </c>
      <c r="D14" s="53" t="s">
        <v>117</v>
      </c>
      <c r="E14" s="38" t="s">
        <v>135</v>
      </c>
      <c r="F14" s="133">
        <v>35704</v>
      </c>
      <c r="G14" s="133">
        <v>36022</v>
      </c>
      <c r="H14" s="60">
        <v>854744963</v>
      </c>
      <c r="I14" s="60">
        <v>203826</v>
      </c>
      <c r="J14" s="61">
        <f t="shared" si="0"/>
        <v>4193.5031006839163</v>
      </c>
      <c r="K14" s="51">
        <v>427372481.5</v>
      </c>
      <c r="L14" s="62">
        <f t="shared" si="1"/>
        <v>3.6529447588693568E+17</v>
      </c>
      <c r="M14" s="286">
        <f t="shared" si="2"/>
        <v>2096.7515503419581</v>
      </c>
    </row>
    <row r="15" spans="1:14" ht="24">
      <c r="A15" s="3"/>
      <c r="B15" s="190">
        <v>7</v>
      </c>
      <c r="C15" s="17" t="s">
        <v>161</v>
      </c>
      <c r="D15" s="17" t="s">
        <v>174</v>
      </c>
      <c r="E15" s="18" t="s">
        <v>162</v>
      </c>
      <c r="F15" s="132">
        <v>40360</v>
      </c>
      <c r="G15" s="132">
        <v>40725</v>
      </c>
      <c r="H15" s="65">
        <v>405250380</v>
      </c>
      <c r="I15" s="65">
        <v>535600</v>
      </c>
      <c r="J15" s="61">
        <f t="shared" si="0"/>
        <v>756.62879014189696</v>
      </c>
      <c r="K15" s="51">
        <v>405250380</v>
      </c>
      <c r="L15" s="62">
        <f t="shared" si="1"/>
        <v>1.6422787049014438E+17</v>
      </c>
      <c r="M15" s="286">
        <f t="shared" si="2"/>
        <v>756.62879014189696</v>
      </c>
    </row>
    <row r="16" spans="1:14" ht="24">
      <c r="A16" s="3"/>
      <c r="B16" s="190">
        <v>8</v>
      </c>
      <c r="C16" s="53" t="s">
        <v>367</v>
      </c>
      <c r="D16" s="53" t="s">
        <v>172</v>
      </c>
      <c r="E16" s="38" t="s">
        <v>163</v>
      </c>
      <c r="F16" s="133">
        <v>40929</v>
      </c>
      <c r="G16" s="133">
        <v>41081</v>
      </c>
      <c r="H16" s="60">
        <v>955298500</v>
      </c>
      <c r="I16" s="60">
        <v>566700</v>
      </c>
      <c r="J16" s="61">
        <f t="shared" si="0"/>
        <v>1685.7217222516322</v>
      </c>
      <c r="K16" s="51">
        <v>955298500</v>
      </c>
      <c r="L16" s="62">
        <f t="shared" si="1"/>
        <v>9.1259522410224998E+17</v>
      </c>
      <c r="M16" s="286">
        <f t="shared" si="2"/>
        <v>1685.7217222516322</v>
      </c>
    </row>
    <row r="17" spans="1:13" ht="24">
      <c r="A17" s="3"/>
      <c r="B17" s="190">
        <v>9</v>
      </c>
      <c r="C17" s="53" t="s">
        <v>368</v>
      </c>
      <c r="D17" s="53" t="s">
        <v>170</v>
      </c>
      <c r="E17" s="38" t="s">
        <v>164</v>
      </c>
      <c r="F17" s="133">
        <v>41320</v>
      </c>
      <c r="G17" s="133">
        <v>41532</v>
      </c>
      <c r="H17" s="60">
        <v>334235760</v>
      </c>
      <c r="I17" s="60">
        <v>589500</v>
      </c>
      <c r="J17" s="61">
        <f t="shared" si="0"/>
        <v>566.98178117048349</v>
      </c>
      <c r="K17" s="51">
        <v>334235760</v>
      </c>
      <c r="L17" s="62">
        <f t="shared" si="1"/>
        <v>1.117135432627776E+17</v>
      </c>
      <c r="M17" s="286">
        <f t="shared" si="2"/>
        <v>566.98178117048349</v>
      </c>
    </row>
    <row r="18" spans="1:13" ht="36">
      <c r="A18" s="3"/>
      <c r="B18" s="190">
        <v>10</v>
      </c>
      <c r="C18" s="53" t="s">
        <v>166</v>
      </c>
      <c r="D18" s="53" t="s">
        <v>173</v>
      </c>
      <c r="E18" s="38" t="s">
        <v>167</v>
      </c>
      <c r="F18" s="133">
        <v>42459</v>
      </c>
      <c r="G18" s="133">
        <v>43189</v>
      </c>
      <c r="H18" s="60">
        <v>1575342890</v>
      </c>
      <c r="I18" s="60">
        <v>781242</v>
      </c>
      <c r="J18" s="61">
        <f t="shared" si="0"/>
        <v>2016.459547745769</v>
      </c>
      <c r="K18" s="51">
        <v>1575342890</v>
      </c>
      <c r="L18" s="62">
        <f t="shared" si="1"/>
        <v>2.4817052210735519E+18</v>
      </c>
      <c r="M18" s="286">
        <f t="shared" si="2"/>
        <v>2016.459547745769</v>
      </c>
    </row>
    <row r="19" spans="1:13" ht="24">
      <c r="A19" s="3"/>
      <c r="B19" s="190">
        <v>11</v>
      </c>
      <c r="C19" s="53" t="s">
        <v>366</v>
      </c>
      <c r="D19" s="53" t="s">
        <v>170</v>
      </c>
      <c r="E19" s="38" t="s">
        <v>169</v>
      </c>
      <c r="F19" s="133">
        <v>43506</v>
      </c>
      <c r="G19" s="133">
        <v>43580</v>
      </c>
      <c r="H19" s="60">
        <v>212345670</v>
      </c>
      <c r="I19" s="60">
        <v>828116</v>
      </c>
      <c r="J19" s="61">
        <f t="shared" si="0"/>
        <v>256.42019958556529</v>
      </c>
      <c r="K19" s="51">
        <v>212345670</v>
      </c>
      <c r="L19" s="62">
        <f t="shared" si="1"/>
        <v>4.5090683567748896E+16</v>
      </c>
      <c r="M19" s="286">
        <f t="shared" si="2"/>
        <v>256.42019958556529</v>
      </c>
    </row>
    <row r="20" spans="1:13" ht="36">
      <c r="A20" s="3"/>
      <c r="B20" s="275">
        <v>12</v>
      </c>
      <c r="C20" s="17" t="s">
        <v>178</v>
      </c>
      <c r="D20" s="17" t="s">
        <v>179</v>
      </c>
      <c r="E20" s="18" t="s">
        <v>180</v>
      </c>
      <c r="F20" s="132">
        <v>38756</v>
      </c>
      <c r="G20" s="132">
        <v>38942</v>
      </c>
      <c r="H20" s="19">
        <f t="shared" ref="H20" si="3">+G20-F20</f>
        <v>186</v>
      </c>
      <c r="I20" s="20">
        <v>153727600</v>
      </c>
      <c r="J20" s="21">
        <v>0.5</v>
      </c>
      <c r="K20" s="120">
        <f>I20*J20</f>
        <v>76863800</v>
      </c>
      <c r="L20" s="20">
        <f t="shared" ref="L20" si="4">+K20/2000</f>
        <v>38431.9</v>
      </c>
      <c r="M20" s="193">
        <f>K20/408000</f>
        <v>188.39166666666668</v>
      </c>
    </row>
    <row r="21" spans="1:13">
      <c r="A21" s="3"/>
      <c r="B21" s="275"/>
      <c r="C21" s="17"/>
      <c r="D21" s="17"/>
      <c r="E21" s="18"/>
      <c r="F21" s="132"/>
      <c r="G21" s="132"/>
      <c r="H21" s="19"/>
      <c r="I21" s="20"/>
      <c r="J21" s="21"/>
      <c r="K21" s="120"/>
      <c r="L21" s="20"/>
      <c r="M21" s="193"/>
    </row>
    <row r="22" spans="1:13" ht="16" thickBot="1">
      <c r="A22" s="3"/>
      <c r="B22" s="299"/>
      <c r="C22" s="301"/>
      <c r="D22" s="301"/>
      <c r="E22" s="300"/>
      <c r="F22" s="302"/>
      <c r="G22" s="302"/>
      <c r="H22" s="287"/>
      <c r="I22" s="303"/>
      <c r="J22" s="304"/>
      <c r="K22" s="305"/>
      <c r="L22" s="303"/>
      <c r="M22" s="306"/>
    </row>
    <row r="23" spans="1:13">
      <c r="A23" s="3"/>
      <c r="B23" s="23"/>
      <c r="C23" s="23"/>
      <c r="D23" s="23"/>
      <c r="E23" s="24"/>
      <c r="F23" s="135"/>
      <c r="G23" s="135"/>
      <c r="H23" s="25"/>
      <c r="I23" s="26"/>
      <c r="J23" s="27"/>
      <c r="K23" s="124"/>
      <c r="L23" s="26"/>
      <c r="M23" s="26"/>
    </row>
    <row r="24" spans="1:13">
      <c r="A24" s="3"/>
      <c r="B24" s="186"/>
      <c r="C24" s="181"/>
      <c r="D24" s="181"/>
      <c r="E24"/>
      <c r="F24" s="181"/>
      <c r="G24" s="181"/>
      <c r="H24"/>
      <c r="I24"/>
      <c r="J24"/>
      <c r="K24" s="127"/>
    </row>
    <row r="25" spans="1:13">
      <c r="A25" s="3"/>
      <c r="B25" s="186"/>
      <c r="C25" s="181"/>
      <c r="D25" s="181"/>
      <c r="E25"/>
      <c r="F25" s="181"/>
      <c r="G25" s="181"/>
      <c r="H25"/>
      <c r="I25"/>
      <c r="J25"/>
      <c r="K25" s="127"/>
    </row>
    <row r="26" spans="1:13">
      <c r="A26" s="3"/>
      <c r="B26" s="186"/>
      <c r="C26" s="181"/>
      <c r="D26" s="181"/>
      <c r="E26"/>
      <c r="F26" s="181"/>
      <c r="G26" s="181"/>
      <c r="H26"/>
      <c r="I26"/>
      <c r="J26"/>
      <c r="K26" s="127"/>
    </row>
    <row r="27" spans="1:13">
      <c r="A27" s="3"/>
      <c r="B27" s="186"/>
      <c r="C27" s="181"/>
      <c r="D27" s="181"/>
      <c r="E27"/>
      <c r="F27" s="181"/>
      <c r="G27" s="181"/>
      <c r="H27"/>
      <c r="I27"/>
      <c r="J27"/>
      <c r="K27" s="127"/>
    </row>
    <row r="28" spans="1:13">
      <c r="A28" s="3"/>
      <c r="B28" s="186"/>
      <c r="C28" s="181"/>
      <c r="D28" s="181"/>
      <c r="E28"/>
      <c r="F28" s="181"/>
      <c r="G28" s="181"/>
      <c r="H28"/>
      <c r="I28"/>
      <c r="J28"/>
      <c r="K28" s="127"/>
    </row>
    <row r="29" spans="1:13">
      <c r="A29" s="3"/>
      <c r="B29" s="186"/>
      <c r="C29" s="181"/>
      <c r="D29" s="181"/>
      <c r="E29"/>
      <c r="F29" s="181"/>
      <c r="G29" s="181"/>
      <c r="H29"/>
      <c r="I29"/>
      <c r="J29"/>
      <c r="K29" s="127"/>
    </row>
    <row r="30" spans="1:13">
      <c r="A30" s="3"/>
      <c r="B30" s="186"/>
      <c r="C30" s="181"/>
      <c r="D30" s="181"/>
      <c r="E30"/>
      <c r="F30" s="181"/>
      <c r="G30" s="181"/>
      <c r="H30"/>
      <c r="I30"/>
      <c r="J30"/>
      <c r="K30" s="127"/>
      <c r="L30" s="3"/>
      <c r="M30" s="3"/>
    </row>
    <row r="31" spans="1:13">
      <c r="A31" s="3"/>
      <c r="B31" s="186"/>
      <c r="C31" s="181"/>
      <c r="D31" s="181"/>
      <c r="E31"/>
      <c r="F31" s="181"/>
      <c r="G31" s="181"/>
      <c r="H31"/>
      <c r="I31"/>
      <c r="J31"/>
      <c r="K31" s="127"/>
      <c r="L31" s="3"/>
      <c r="M31" s="3"/>
    </row>
    <row r="32" spans="1:13">
      <c r="A32" s="3"/>
      <c r="B32" s="186"/>
      <c r="C32" s="181"/>
      <c r="D32" s="181"/>
      <c r="E32"/>
      <c r="F32" s="181"/>
      <c r="G32" s="181"/>
      <c r="H32"/>
      <c r="I32"/>
      <c r="J32"/>
      <c r="K32" s="127"/>
      <c r="L32" s="3"/>
      <c r="M32" s="3"/>
    </row>
    <row r="33" spans="1:13">
      <c r="A33" s="3"/>
      <c r="B33" s="186"/>
      <c r="C33" s="181"/>
      <c r="D33" s="181"/>
      <c r="E33"/>
      <c r="F33" s="181"/>
      <c r="G33" s="181"/>
      <c r="H33"/>
      <c r="I33"/>
      <c r="J33"/>
      <c r="K33" s="127"/>
      <c r="L33" s="3"/>
      <c r="M33" s="3"/>
    </row>
    <row r="34" spans="1:13">
      <c r="A34" s="3"/>
      <c r="B34" s="186"/>
      <c r="C34" s="181"/>
      <c r="D34" s="181"/>
      <c r="E34"/>
      <c r="F34" s="181"/>
      <c r="G34" s="181"/>
      <c r="H34"/>
      <c r="I34"/>
      <c r="J34"/>
      <c r="K34" s="127"/>
      <c r="L34" s="3"/>
      <c r="M34" s="3"/>
    </row>
    <row r="35" spans="1:13">
      <c r="A35" s="3"/>
      <c r="B35" s="186"/>
      <c r="C35" s="181"/>
      <c r="D35" s="181"/>
      <c r="E35"/>
      <c r="F35" s="181"/>
      <c r="G35" s="181"/>
      <c r="H35"/>
      <c r="I35"/>
      <c r="J35"/>
      <c r="K35" s="127"/>
      <c r="L35" s="3"/>
      <c r="M35" s="3"/>
    </row>
    <row r="36" spans="1:13">
      <c r="A36" s="3"/>
      <c r="B36" s="186"/>
      <c r="C36" s="181"/>
      <c r="D36" s="181"/>
      <c r="E36"/>
      <c r="F36" s="181"/>
      <c r="G36" s="181"/>
      <c r="H36"/>
      <c r="I36"/>
      <c r="J36"/>
      <c r="K36" s="127"/>
      <c r="L36" s="3"/>
      <c r="M36" s="3"/>
    </row>
    <row r="37" spans="1:13">
      <c r="A37" s="3"/>
      <c r="B37" s="186"/>
      <c r="C37" s="181"/>
      <c r="D37" s="181"/>
      <c r="E37"/>
      <c r="F37" s="181"/>
      <c r="G37" s="181"/>
      <c r="H37"/>
      <c r="I37"/>
      <c r="J37"/>
      <c r="K37" s="127"/>
      <c r="L37" s="3"/>
      <c r="M37" s="3"/>
    </row>
    <row r="38" spans="1:13">
      <c r="A38" s="3"/>
      <c r="B38" s="186"/>
      <c r="C38" s="181"/>
      <c r="D38" s="181"/>
      <c r="E38"/>
      <c r="F38" s="181"/>
      <c r="G38" s="181"/>
      <c r="H38"/>
      <c r="I38"/>
      <c r="J38"/>
      <c r="K38" s="127"/>
      <c r="L38" s="3"/>
      <c r="M38" s="3"/>
    </row>
  </sheetData>
  <sheetProtection password="C23C" sheet="1" objects="1" scenarios="1" selectLockedCells="1" selectUnlockedCells="1"/>
  <mergeCells count="4">
    <mergeCell ref="C2:K2"/>
    <mergeCell ref="C3:K3"/>
    <mergeCell ref="C5:K5"/>
    <mergeCell ref="C6:K6"/>
  </mergeCells>
  <phoneticPr fontId="18" type="noConversion"/>
  <pageMargins left="0.75000000000000011" right="0.75000000000000011" top="1" bottom="1" header="0.5" footer="0.5"/>
  <pageSetup scale="62" orientation="portrait" horizontalDpi="4294967292" verticalDpi="4294967292"/>
  <extLst>
    <ext xmlns:mx="http://schemas.microsoft.com/office/mac/excel/2008/main" uri="{64002731-A6B0-56B0-2670-7721B7C09600}">
      <mx:PLV Mode="0" OnePage="0" WScale="10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M41"/>
  <sheetViews>
    <sheetView topLeftCell="B1" workbookViewId="0">
      <selection activeCell="B1" sqref="B1"/>
    </sheetView>
  </sheetViews>
  <sheetFormatPr baseColWidth="10" defaultRowHeight="15" x14ac:dyDescent="0"/>
  <cols>
    <col min="1" max="1" width="1.33203125" style="1" hidden="1" customWidth="1"/>
    <col min="2" max="2" width="4.33203125" style="184" customWidth="1"/>
    <col min="3" max="3" width="15.83203125" style="333" customWidth="1"/>
    <col min="4" max="4" width="20.83203125" style="15" customWidth="1"/>
    <col min="5" max="5" width="40.83203125" style="3" customWidth="1"/>
    <col min="6" max="7" width="10.83203125" style="144" customWidth="1"/>
    <col min="8" max="8" width="8.1640625" style="6" hidden="1" customWidth="1"/>
    <col min="9" max="9" width="14.5" style="4" hidden="1" customWidth="1"/>
    <col min="10" max="10" width="9.83203125" style="7" hidden="1" customWidth="1"/>
    <col min="11" max="11" width="15.83203125" style="117" customWidth="1"/>
    <col min="12" max="12" width="15.33203125" style="4" hidden="1" customWidth="1"/>
    <col min="13" max="13" width="15.83203125" style="7" customWidth="1"/>
    <col min="14" max="16384" width="10.83203125" style="3"/>
  </cols>
  <sheetData>
    <row r="1" spans="1:13">
      <c r="A1" s="3"/>
      <c r="B1" s="23"/>
      <c r="C1" s="23"/>
      <c r="D1" s="23"/>
      <c r="E1" s="24"/>
      <c r="F1" s="135"/>
      <c r="G1" s="135"/>
      <c r="H1" s="25"/>
      <c r="I1" s="26"/>
      <c r="J1" s="27"/>
      <c r="K1" s="124"/>
      <c r="L1" s="26"/>
      <c r="M1" s="26"/>
    </row>
    <row r="2" spans="1:13" ht="18">
      <c r="A2" s="3"/>
      <c r="B2" s="182"/>
      <c r="C2" s="331"/>
      <c r="D2" s="75"/>
      <c r="E2" s="78" t="s">
        <v>0</v>
      </c>
      <c r="F2" s="234"/>
      <c r="G2" s="235"/>
      <c r="H2" s="79"/>
      <c r="I2" s="80"/>
      <c r="J2" s="81"/>
      <c r="K2" s="116"/>
      <c r="L2" s="80"/>
      <c r="M2" s="82"/>
    </row>
    <row r="3" spans="1:13" ht="18">
      <c r="A3" s="3"/>
      <c r="B3" s="182"/>
      <c r="C3" s="331"/>
      <c r="D3" s="75"/>
      <c r="E3" s="78" t="s">
        <v>256</v>
      </c>
      <c r="F3" s="234"/>
      <c r="G3" s="235"/>
      <c r="H3" s="79"/>
      <c r="I3" s="80"/>
      <c r="J3" s="81"/>
      <c r="K3" s="116"/>
      <c r="L3" s="80"/>
      <c r="M3" s="82"/>
    </row>
    <row r="4" spans="1:13">
      <c r="A4" s="3"/>
      <c r="B4" s="29"/>
      <c r="C4" s="328"/>
      <c r="D4" s="69"/>
      <c r="E4" s="68"/>
      <c r="F4" s="134"/>
      <c r="G4" s="134"/>
      <c r="H4" s="55"/>
      <c r="I4" s="56"/>
      <c r="J4" s="57"/>
      <c r="K4" s="123"/>
      <c r="L4" s="58"/>
      <c r="M4" s="59"/>
    </row>
    <row r="5" spans="1:13" ht="23" customHeight="1">
      <c r="A5" s="3"/>
      <c r="B5" s="29"/>
      <c r="C5" s="344" t="s">
        <v>381</v>
      </c>
      <c r="D5" s="344"/>
      <c r="E5" s="344"/>
      <c r="F5" s="344"/>
      <c r="G5" s="344"/>
      <c r="H5" s="344"/>
      <c r="I5" s="344"/>
      <c r="J5" s="344"/>
      <c r="K5" s="344"/>
      <c r="L5" s="58"/>
      <c r="M5" s="59"/>
    </row>
    <row r="6" spans="1:13" ht="23" customHeight="1">
      <c r="A6" s="3"/>
      <c r="B6" s="69"/>
      <c r="C6" s="344" t="s">
        <v>380</v>
      </c>
      <c r="D6" s="344"/>
      <c r="E6" s="344"/>
      <c r="F6" s="344"/>
      <c r="G6" s="344"/>
      <c r="H6" s="344"/>
      <c r="I6" s="344"/>
      <c r="J6" s="344"/>
      <c r="K6" s="344"/>
      <c r="L6" s="97"/>
      <c r="M6" s="98"/>
    </row>
    <row r="7" spans="1:13" ht="24" thickBot="1">
      <c r="A7" s="3"/>
      <c r="B7" s="69"/>
      <c r="C7" s="180"/>
      <c r="D7" s="43"/>
      <c r="E7" s="43"/>
      <c r="F7" s="43"/>
      <c r="G7" s="43"/>
      <c r="H7" s="43"/>
      <c r="I7" s="43"/>
      <c r="J7" s="43"/>
      <c r="K7" s="43"/>
      <c r="L7" s="97"/>
      <c r="M7" s="98"/>
    </row>
    <row r="8" spans="1:13" ht="46" thickBot="1">
      <c r="A8" s="3"/>
      <c r="B8" s="211" t="s">
        <v>1</v>
      </c>
      <c r="C8" s="321" t="s">
        <v>2</v>
      </c>
      <c r="D8" s="212" t="s">
        <v>3</v>
      </c>
      <c r="E8" s="212" t="s">
        <v>4</v>
      </c>
      <c r="F8" s="213" t="s">
        <v>5</v>
      </c>
      <c r="G8" s="213" t="s">
        <v>6</v>
      </c>
      <c r="H8" s="214" t="s">
        <v>7</v>
      </c>
      <c r="I8" s="215" t="s">
        <v>8</v>
      </c>
      <c r="J8" s="215" t="s">
        <v>9</v>
      </c>
      <c r="K8" s="216" t="s">
        <v>250</v>
      </c>
      <c r="L8" s="215" t="s">
        <v>10</v>
      </c>
      <c r="M8" s="217" t="s">
        <v>11</v>
      </c>
    </row>
    <row r="9" spans="1:13" ht="24">
      <c r="A9" s="3"/>
      <c r="B9" s="288">
        <v>1</v>
      </c>
      <c r="C9" s="162">
        <v>10793</v>
      </c>
      <c r="D9" s="162" t="s">
        <v>100</v>
      </c>
      <c r="E9" s="163" t="s">
        <v>101</v>
      </c>
      <c r="F9" s="289">
        <v>33976</v>
      </c>
      <c r="G9" s="289">
        <v>34341</v>
      </c>
      <c r="H9" s="290">
        <v>8552380</v>
      </c>
      <c r="I9" s="290">
        <v>98700</v>
      </c>
      <c r="J9" s="291">
        <f t="shared" ref="J9:J28" si="0">+H9/I9</f>
        <v>86.650253292806482</v>
      </c>
      <c r="K9" s="292">
        <v>8552380</v>
      </c>
      <c r="L9" s="293">
        <f t="shared" ref="L9:L28" si="1">+H9*K9</f>
        <v>73143203664400</v>
      </c>
      <c r="M9" s="294">
        <f>+K9/I9</f>
        <v>86.650253292806482</v>
      </c>
    </row>
    <row r="10" spans="1:13" ht="24">
      <c r="A10" s="3"/>
      <c r="B10" s="190">
        <f>+B9+1</f>
        <v>2</v>
      </c>
      <c r="C10" s="53">
        <v>70093</v>
      </c>
      <c r="D10" s="53" t="s">
        <v>102</v>
      </c>
      <c r="E10" s="38" t="s">
        <v>103</v>
      </c>
      <c r="F10" s="133">
        <v>34274</v>
      </c>
      <c r="G10" s="133">
        <v>34394</v>
      </c>
      <c r="H10" s="60">
        <v>25234580</v>
      </c>
      <c r="I10" s="60">
        <v>98700</v>
      </c>
      <c r="J10" s="61">
        <f t="shared" si="0"/>
        <v>255.66950354609929</v>
      </c>
      <c r="K10" s="51">
        <v>25234580</v>
      </c>
      <c r="L10" s="62">
        <f t="shared" si="1"/>
        <v>636784027776400</v>
      </c>
      <c r="M10" s="286">
        <f t="shared" ref="M10:M28" si="2">+K10/I10</f>
        <v>255.66950354609929</v>
      </c>
    </row>
    <row r="11" spans="1:13" ht="24">
      <c r="A11" s="3"/>
      <c r="B11" s="190">
        <f t="shared" ref="B11:B29" si="3">+B10+1</f>
        <v>3</v>
      </c>
      <c r="C11" s="53">
        <v>12594</v>
      </c>
      <c r="D11" s="53" t="s">
        <v>104</v>
      </c>
      <c r="E11" s="38" t="s">
        <v>105</v>
      </c>
      <c r="F11" s="133">
        <v>34366</v>
      </c>
      <c r="G11" s="133">
        <v>34547</v>
      </c>
      <c r="H11" s="60">
        <v>52890340</v>
      </c>
      <c r="I11" s="60">
        <v>98700</v>
      </c>
      <c r="J11" s="61">
        <f t="shared" si="0"/>
        <v>535.86970618034445</v>
      </c>
      <c r="K11" s="51">
        <v>52890340</v>
      </c>
      <c r="L11" s="62">
        <f t="shared" si="1"/>
        <v>2797388065315600</v>
      </c>
      <c r="M11" s="286">
        <f t="shared" si="2"/>
        <v>535.86970618034445</v>
      </c>
    </row>
    <row r="12" spans="1:13" ht="36">
      <c r="A12" s="3"/>
      <c r="B12" s="190">
        <f t="shared" si="3"/>
        <v>4</v>
      </c>
      <c r="C12" s="53">
        <v>15194</v>
      </c>
      <c r="D12" s="53" t="s">
        <v>106</v>
      </c>
      <c r="E12" s="38" t="s">
        <v>107</v>
      </c>
      <c r="F12" s="133">
        <v>34380</v>
      </c>
      <c r="G12" s="133">
        <v>34469</v>
      </c>
      <c r="H12" s="60">
        <v>6060261</v>
      </c>
      <c r="I12" s="60">
        <v>98700</v>
      </c>
      <c r="J12" s="61">
        <f t="shared" si="0"/>
        <v>61.400820668693008</v>
      </c>
      <c r="K12" s="51">
        <v>6060261</v>
      </c>
      <c r="L12" s="62">
        <f t="shared" si="1"/>
        <v>36726763388121</v>
      </c>
      <c r="M12" s="286">
        <f t="shared" si="2"/>
        <v>61.400820668693008</v>
      </c>
    </row>
    <row r="13" spans="1:13" ht="24">
      <c r="A13" s="3"/>
      <c r="B13" s="190">
        <f t="shared" si="3"/>
        <v>5</v>
      </c>
      <c r="C13" s="53">
        <v>36794</v>
      </c>
      <c r="D13" s="53" t="s">
        <v>102</v>
      </c>
      <c r="E13" s="38" t="s">
        <v>108</v>
      </c>
      <c r="F13" s="133">
        <v>34693</v>
      </c>
      <c r="G13" s="133">
        <v>34755</v>
      </c>
      <c r="H13" s="60">
        <v>28389510</v>
      </c>
      <c r="I13" s="60">
        <v>118934</v>
      </c>
      <c r="J13" s="61">
        <f t="shared" si="0"/>
        <v>238.69969899271865</v>
      </c>
      <c r="K13" s="51">
        <v>28389510</v>
      </c>
      <c r="L13" s="62">
        <f t="shared" si="1"/>
        <v>805964278040100</v>
      </c>
      <c r="M13" s="286">
        <f t="shared" si="2"/>
        <v>238.69969899271865</v>
      </c>
    </row>
    <row r="14" spans="1:13" ht="24">
      <c r="A14" s="3"/>
      <c r="B14" s="190">
        <f t="shared" si="3"/>
        <v>6</v>
      </c>
      <c r="C14" s="53">
        <v>12594</v>
      </c>
      <c r="D14" s="53" t="s">
        <v>112</v>
      </c>
      <c r="E14" s="38" t="s">
        <v>113</v>
      </c>
      <c r="F14" s="133">
        <v>35079</v>
      </c>
      <c r="G14" s="133">
        <v>35426</v>
      </c>
      <c r="H14" s="60">
        <v>224615450</v>
      </c>
      <c r="I14" s="60">
        <v>142125</v>
      </c>
      <c r="J14" s="61">
        <f t="shared" si="0"/>
        <v>1580.4077396657872</v>
      </c>
      <c r="K14" s="51">
        <v>224615450</v>
      </c>
      <c r="L14" s="62">
        <f t="shared" si="1"/>
        <v>5.0452100378702496E+16</v>
      </c>
      <c r="M14" s="286">
        <f t="shared" si="2"/>
        <v>1580.4077396657872</v>
      </c>
    </row>
    <row r="15" spans="1:13" ht="24">
      <c r="A15" s="3"/>
      <c r="B15" s="190">
        <f t="shared" si="3"/>
        <v>7</v>
      </c>
      <c r="C15" s="53">
        <v>96504004</v>
      </c>
      <c r="D15" s="53" t="s">
        <v>119</v>
      </c>
      <c r="E15" s="38" t="s">
        <v>120</v>
      </c>
      <c r="F15" s="133">
        <v>35401</v>
      </c>
      <c r="G15" s="133">
        <v>35646</v>
      </c>
      <c r="H15" s="60">
        <v>97499766</v>
      </c>
      <c r="I15" s="60">
        <v>172005</v>
      </c>
      <c r="J15" s="61">
        <f t="shared" si="0"/>
        <v>566.84262666782945</v>
      </c>
      <c r="K15" s="51">
        <v>97499766</v>
      </c>
      <c r="L15" s="62">
        <f t="shared" si="1"/>
        <v>9506204370054756</v>
      </c>
      <c r="M15" s="286">
        <f t="shared" si="2"/>
        <v>566.84262666782945</v>
      </c>
    </row>
    <row r="16" spans="1:13" ht="36">
      <c r="A16" s="3"/>
      <c r="B16" s="190">
        <f t="shared" si="3"/>
        <v>8</v>
      </c>
      <c r="C16" s="53">
        <v>7741</v>
      </c>
      <c r="D16" s="53" t="s">
        <v>127</v>
      </c>
      <c r="E16" s="38" t="s">
        <v>128</v>
      </c>
      <c r="F16" s="133">
        <v>35704</v>
      </c>
      <c r="G16" s="133">
        <v>35977</v>
      </c>
      <c r="H16" s="60">
        <v>1888474333</v>
      </c>
      <c r="I16" s="60">
        <v>203826</v>
      </c>
      <c r="J16" s="61">
        <f t="shared" si="0"/>
        <v>9265.1297332038102</v>
      </c>
      <c r="K16" s="51">
        <v>849813449.85000002</v>
      </c>
      <c r="L16" s="62">
        <f t="shared" si="1"/>
        <v>1.6048508878799078E+18</v>
      </c>
      <c r="M16" s="286">
        <f t="shared" si="2"/>
        <v>4169.3083799417154</v>
      </c>
    </row>
    <row r="17" spans="1:13" ht="48">
      <c r="A17" s="3"/>
      <c r="B17" s="190">
        <f t="shared" si="3"/>
        <v>9</v>
      </c>
      <c r="C17" s="53" t="s">
        <v>131</v>
      </c>
      <c r="D17" s="53" t="s">
        <v>132</v>
      </c>
      <c r="E17" s="38" t="s">
        <v>133</v>
      </c>
      <c r="F17" s="133">
        <v>35735</v>
      </c>
      <c r="G17" s="133">
        <v>36022</v>
      </c>
      <c r="H17" s="60">
        <v>450834583</v>
      </c>
      <c r="I17" s="60">
        <v>203826</v>
      </c>
      <c r="J17" s="61">
        <f t="shared" si="0"/>
        <v>2211.8600325768057</v>
      </c>
      <c r="K17" s="51">
        <v>450834583</v>
      </c>
      <c r="L17" s="62">
        <f t="shared" si="1"/>
        <v>2.032518212287839E+17</v>
      </c>
      <c r="M17" s="286">
        <f t="shared" si="2"/>
        <v>2211.8600325768057</v>
      </c>
    </row>
    <row r="18" spans="1:13" ht="36">
      <c r="A18" s="3"/>
      <c r="B18" s="190">
        <f t="shared" si="3"/>
        <v>10</v>
      </c>
      <c r="C18" s="53" t="s">
        <v>136</v>
      </c>
      <c r="D18" s="53" t="s">
        <v>132</v>
      </c>
      <c r="E18" s="38" t="s">
        <v>137</v>
      </c>
      <c r="F18" s="133">
        <v>36022</v>
      </c>
      <c r="G18" s="133">
        <v>36234</v>
      </c>
      <c r="H18" s="60">
        <v>1388035056</v>
      </c>
      <c r="I18" s="60">
        <v>236460</v>
      </c>
      <c r="J18" s="61">
        <f t="shared" si="0"/>
        <v>5870.0628266937329</v>
      </c>
      <c r="K18" s="51">
        <v>1388035056</v>
      </c>
      <c r="L18" s="62">
        <f t="shared" si="1"/>
        <v>1.9266413166849231E+18</v>
      </c>
      <c r="M18" s="286">
        <f t="shared" si="2"/>
        <v>5870.0628266937329</v>
      </c>
    </row>
    <row r="19" spans="1:13" ht="24">
      <c r="A19" s="3"/>
      <c r="B19" s="190">
        <f t="shared" si="3"/>
        <v>11</v>
      </c>
      <c r="C19" s="53">
        <v>96504004</v>
      </c>
      <c r="D19" s="53" t="s">
        <v>119</v>
      </c>
      <c r="E19" s="38" t="s">
        <v>138</v>
      </c>
      <c r="F19" s="133">
        <v>35800</v>
      </c>
      <c r="G19" s="133">
        <v>36347</v>
      </c>
      <c r="H19" s="60">
        <v>211257100</v>
      </c>
      <c r="I19" s="60">
        <v>236460</v>
      </c>
      <c r="J19" s="61">
        <f t="shared" si="0"/>
        <v>893.41579971242493</v>
      </c>
      <c r="K19" s="51">
        <v>211257100</v>
      </c>
      <c r="L19" s="62">
        <f t="shared" si="1"/>
        <v>4.462956230041E+16</v>
      </c>
      <c r="M19" s="286">
        <f t="shared" si="2"/>
        <v>893.41579971242493</v>
      </c>
    </row>
    <row r="20" spans="1:13" ht="24">
      <c r="A20" s="3"/>
      <c r="B20" s="190">
        <f t="shared" si="3"/>
        <v>12</v>
      </c>
      <c r="C20" s="53">
        <v>98984013</v>
      </c>
      <c r="D20" s="53" t="s">
        <v>119</v>
      </c>
      <c r="E20" s="38" t="s">
        <v>139</v>
      </c>
      <c r="F20" s="133">
        <v>36153</v>
      </c>
      <c r="G20" s="133">
        <v>36525</v>
      </c>
      <c r="H20" s="60">
        <v>58841855</v>
      </c>
      <c r="I20" s="60">
        <v>236460</v>
      </c>
      <c r="J20" s="61">
        <f t="shared" si="0"/>
        <v>248.84485748118075</v>
      </c>
      <c r="K20" s="51">
        <v>58841855</v>
      </c>
      <c r="L20" s="62">
        <f t="shared" si="1"/>
        <v>3462363899841025</v>
      </c>
      <c r="M20" s="286">
        <f t="shared" si="2"/>
        <v>248.84485748118075</v>
      </c>
    </row>
    <row r="21" spans="1:13" ht="48">
      <c r="A21" s="3"/>
      <c r="B21" s="190">
        <f t="shared" si="3"/>
        <v>13</v>
      </c>
      <c r="C21" s="53">
        <v>99240</v>
      </c>
      <c r="D21" s="53" t="s">
        <v>132</v>
      </c>
      <c r="E21" s="38" t="s">
        <v>140</v>
      </c>
      <c r="F21" s="133">
        <v>36404</v>
      </c>
      <c r="G21" s="133">
        <v>36891</v>
      </c>
      <c r="H21" s="60">
        <v>927107332</v>
      </c>
      <c r="I21" s="60">
        <v>260100</v>
      </c>
      <c r="J21" s="61">
        <f t="shared" si="0"/>
        <v>3564.426497500961</v>
      </c>
      <c r="K21" s="51">
        <v>927107332</v>
      </c>
      <c r="L21" s="62">
        <f t="shared" si="1"/>
        <v>8.5952800504815821E+17</v>
      </c>
      <c r="M21" s="286">
        <f t="shared" si="2"/>
        <v>3564.426497500961</v>
      </c>
    </row>
    <row r="22" spans="1:13" ht="36">
      <c r="A22" s="3"/>
      <c r="B22" s="190">
        <f t="shared" si="3"/>
        <v>14</v>
      </c>
      <c r="C22" s="53" t="s">
        <v>141</v>
      </c>
      <c r="D22" s="53" t="s">
        <v>142</v>
      </c>
      <c r="E22" s="38" t="s">
        <v>143</v>
      </c>
      <c r="F22" s="133">
        <v>37222</v>
      </c>
      <c r="G22" s="133">
        <v>37586</v>
      </c>
      <c r="H22" s="60">
        <v>194911469</v>
      </c>
      <c r="I22" s="60">
        <v>309000</v>
      </c>
      <c r="J22" s="61">
        <f t="shared" si="0"/>
        <v>630.78145307443367</v>
      </c>
      <c r="K22" s="51">
        <v>194911469</v>
      </c>
      <c r="L22" s="62">
        <f t="shared" si="1"/>
        <v>3.799048074773796E+16</v>
      </c>
      <c r="M22" s="286">
        <f t="shared" si="2"/>
        <v>630.78145307443367</v>
      </c>
    </row>
    <row r="23" spans="1:13" ht="48">
      <c r="A23" s="3"/>
      <c r="B23" s="190">
        <f t="shared" si="3"/>
        <v>15</v>
      </c>
      <c r="C23" s="53" t="s">
        <v>147</v>
      </c>
      <c r="D23" s="53" t="s">
        <v>148</v>
      </c>
      <c r="E23" s="38" t="s">
        <v>149</v>
      </c>
      <c r="F23" s="133">
        <v>37540</v>
      </c>
      <c r="G23" s="133">
        <v>37800</v>
      </c>
      <c r="H23" s="60">
        <v>836540396</v>
      </c>
      <c r="I23" s="60">
        <v>332000</v>
      </c>
      <c r="J23" s="61">
        <f t="shared" si="0"/>
        <v>2519.6999879518071</v>
      </c>
      <c r="K23" s="51">
        <v>836540396</v>
      </c>
      <c r="L23" s="62">
        <f t="shared" si="1"/>
        <v>6.997998341398368E+17</v>
      </c>
      <c r="M23" s="286">
        <f t="shared" si="2"/>
        <v>2519.6999879518071</v>
      </c>
    </row>
    <row r="24" spans="1:13" ht="36">
      <c r="A24" s="3"/>
      <c r="B24" s="190">
        <f t="shared" si="3"/>
        <v>16</v>
      </c>
      <c r="C24" s="53" t="s">
        <v>150</v>
      </c>
      <c r="D24" s="53" t="s">
        <v>151</v>
      </c>
      <c r="E24" s="38" t="s">
        <v>152</v>
      </c>
      <c r="F24" s="133">
        <v>37623</v>
      </c>
      <c r="G24" s="133">
        <v>38192</v>
      </c>
      <c r="H24" s="60">
        <v>30928375</v>
      </c>
      <c r="I24" s="60">
        <v>358000</v>
      </c>
      <c r="J24" s="61">
        <f t="shared" si="0"/>
        <v>86.39210893854748</v>
      </c>
      <c r="K24" s="51">
        <v>30928375</v>
      </c>
      <c r="L24" s="62">
        <f t="shared" si="1"/>
        <v>956564380140625</v>
      </c>
      <c r="M24" s="286">
        <f t="shared" si="2"/>
        <v>86.39210893854748</v>
      </c>
    </row>
    <row r="25" spans="1:13" ht="36">
      <c r="A25" s="3"/>
      <c r="B25" s="190">
        <f t="shared" si="3"/>
        <v>17</v>
      </c>
      <c r="C25" s="53" t="s">
        <v>153</v>
      </c>
      <c r="D25" s="53" t="s">
        <v>171</v>
      </c>
      <c r="E25" s="38" t="s">
        <v>154</v>
      </c>
      <c r="F25" s="133">
        <v>37957</v>
      </c>
      <c r="G25" s="133">
        <v>38232</v>
      </c>
      <c r="H25" s="60">
        <v>2050000000</v>
      </c>
      <c r="I25" s="60">
        <v>358000</v>
      </c>
      <c r="J25" s="61">
        <f t="shared" si="0"/>
        <v>5726.2569832402232</v>
      </c>
      <c r="K25" s="51">
        <v>1640000000</v>
      </c>
      <c r="L25" s="62">
        <f t="shared" si="1"/>
        <v>3.362E+18</v>
      </c>
      <c r="M25" s="286">
        <f t="shared" si="2"/>
        <v>4581.0055865921786</v>
      </c>
    </row>
    <row r="26" spans="1:13" ht="36">
      <c r="A26" s="3"/>
      <c r="B26" s="190">
        <f t="shared" si="3"/>
        <v>18</v>
      </c>
      <c r="C26" s="53" t="s">
        <v>155</v>
      </c>
      <c r="D26" s="53" t="s">
        <v>151</v>
      </c>
      <c r="E26" s="38" t="s">
        <v>156</v>
      </c>
      <c r="F26" s="133">
        <v>38200</v>
      </c>
      <c r="G26" s="133">
        <v>39325</v>
      </c>
      <c r="H26" s="60">
        <v>479022213</v>
      </c>
      <c r="I26" s="60">
        <v>433700</v>
      </c>
      <c r="J26" s="61">
        <f t="shared" si="0"/>
        <v>1104.5012981323496</v>
      </c>
      <c r="K26" s="51">
        <v>479022213</v>
      </c>
      <c r="L26" s="62">
        <f t="shared" si="1"/>
        <v>2.2946228054741738E+17</v>
      </c>
      <c r="M26" s="286">
        <f t="shared" si="2"/>
        <v>1104.5012981323496</v>
      </c>
    </row>
    <row r="27" spans="1:13" ht="24">
      <c r="A27" s="3"/>
      <c r="B27" s="190">
        <f t="shared" si="3"/>
        <v>19</v>
      </c>
      <c r="C27" s="53" t="s">
        <v>329</v>
      </c>
      <c r="D27" s="53" t="s">
        <v>328</v>
      </c>
      <c r="E27" s="38" t="s">
        <v>160</v>
      </c>
      <c r="F27" s="133">
        <v>39828</v>
      </c>
      <c r="G27" s="133">
        <v>39979</v>
      </c>
      <c r="H27" s="60">
        <v>155895542</v>
      </c>
      <c r="I27" s="60">
        <v>496900</v>
      </c>
      <c r="J27" s="61">
        <f t="shared" si="0"/>
        <v>313.73624874220167</v>
      </c>
      <c r="K27" s="51">
        <v>155895542</v>
      </c>
      <c r="L27" s="62">
        <f t="shared" si="1"/>
        <v>2.4303420015473764E+16</v>
      </c>
      <c r="M27" s="286">
        <f t="shared" si="2"/>
        <v>313.73624874220167</v>
      </c>
    </row>
    <row r="28" spans="1:13" ht="24">
      <c r="A28" s="3"/>
      <c r="B28" s="190">
        <f t="shared" si="3"/>
        <v>20</v>
      </c>
      <c r="C28" s="53" t="s">
        <v>330</v>
      </c>
      <c r="D28" s="53" t="s">
        <v>170</v>
      </c>
      <c r="E28" s="38" t="s">
        <v>165</v>
      </c>
      <c r="F28" s="133">
        <v>42019</v>
      </c>
      <c r="G28" s="133">
        <v>42231</v>
      </c>
      <c r="H28" s="60">
        <v>225758900</v>
      </c>
      <c r="I28" s="60">
        <v>644350</v>
      </c>
      <c r="J28" s="61">
        <f t="shared" si="0"/>
        <v>350.36688135330178</v>
      </c>
      <c r="K28" s="51">
        <v>225758900</v>
      </c>
      <c r="L28" s="62">
        <f t="shared" si="1"/>
        <v>5.096708092921E+16</v>
      </c>
      <c r="M28" s="286">
        <f t="shared" si="2"/>
        <v>350.36688135330178</v>
      </c>
    </row>
    <row r="29" spans="1:13" ht="25" thickBot="1">
      <c r="A29" s="3"/>
      <c r="B29" s="272">
        <f t="shared" si="3"/>
        <v>21</v>
      </c>
      <c r="C29" s="196" t="s">
        <v>331</v>
      </c>
      <c r="D29" s="196" t="s">
        <v>170</v>
      </c>
      <c r="E29" s="195" t="s">
        <v>168</v>
      </c>
      <c r="F29" s="258">
        <v>43480</v>
      </c>
      <c r="G29" s="258">
        <v>43570</v>
      </c>
      <c r="H29" s="307">
        <v>146789000</v>
      </c>
      <c r="I29" s="307">
        <v>828116</v>
      </c>
      <c r="J29" s="308">
        <v>177.26</v>
      </c>
      <c r="K29" s="309">
        <v>146789000</v>
      </c>
      <c r="L29" s="310">
        <v>2.1547010521E+16</v>
      </c>
      <c r="M29" s="311">
        <v>177.26</v>
      </c>
    </row>
    <row r="30" spans="1:13">
      <c r="A30" s="3"/>
      <c r="B30" s="70"/>
      <c r="C30" s="70"/>
      <c r="D30" s="70"/>
      <c r="E30" s="102"/>
      <c r="F30" s="171"/>
      <c r="G30" s="171"/>
      <c r="H30" s="71"/>
      <c r="I30" s="71"/>
      <c r="J30" s="72"/>
      <c r="K30" s="125"/>
      <c r="L30" s="73"/>
      <c r="M30" s="74"/>
    </row>
    <row r="31" spans="1:13">
      <c r="A31" s="3"/>
      <c r="B31" s="186"/>
      <c r="C31" s="181"/>
      <c r="D31" s="181"/>
      <c r="E31"/>
      <c r="F31" s="181"/>
      <c r="G31" s="181"/>
      <c r="H31"/>
      <c r="I31"/>
      <c r="J31"/>
      <c r="K31" s="127"/>
    </row>
    <row r="32" spans="1:13">
      <c r="A32" s="3"/>
      <c r="B32" s="186"/>
      <c r="C32" s="181"/>
      <c r="D32" s="181"/>
      <c r="E32"/>
      <c r="F32" s="181"/>
      <c r="G32" s="181"/>
      <c r="H32"/>
      <c r="I32"/>
      <c r="J32"/>
      <c r="K32" s="127"/>
    </row>
    <row r="33" spans="1:13">
      <c r="A33" s="3"/>
      <c r="B33" s="186"/>
      <c r="C33" s="181"/>
      <c r="D33" s="181"/>
      <c r="E33"/>
      <c r="F33" s="181"/>
      <c r="G33" s="181"/>
      <c r="H33"/>
      <c r="I33"/>
      <c r="J33"/>
      <c r="K33" s="127"/>
      <c r="L33" s="3"/>
      <c r="M33" s="3"/>
    </row>
    <row r="34" spans="1:13">
      <c r="A34" s="3"/>
      <c r="B34" s="186"/>
      <c r="C34" s="181"/>
      <c r="D34" s="181"/>
      <c r="E34"/>
      <c r="F34" s="181"/>
      <c r="G34" s="181"/>
      <c r="H34"/>
      <c r="I34"/>
      <c r="J34"/>
      <c r="K34" s="127"/>
      <c r="L34" s="3"/>
      <c r="M34" s="3"/>
    </row>
    <row r="35" spans="1:13">
      <c r="A35" s="3"/>
      <c r="B35" s="186"/>
      <c r="C35" s="181"/>
      <c r="D35" s="181"/>
      <c r="E35"/>
      <c r="F35" s="181"/>
      <c r="G35" s="181"/>
      <c r="H35"/>
      <c r="I35"/>
      <c r="J35"/>
      <c r="K35" s="127"/>
      <c r="L35" s="3"/>
      <c r="M35" s="3"/>
    </row>
    <row r="36" spans="1:13">
      <c r="A36" s="3"/>
      <c r="B36" s="186"/>
      <c r="C36" s="181"/>
      <c r="D36" s="181"/>
      <c r="E36"/>
      <c r="F36" s="181"/>
      <c r="G36" s="181"/>
      <c r="H36"/>
      <c r="I36"/>
      <c r="J36"/>
      <c r="K36" s="127"/>
      <c r="L36" s="3"/>
      <c r="M36" s="3"/>
    </row>
    <row r="37" spans="1:13">
      <c r="A37" s="3"/>
      <c r="B37" s="186"/>
      <c r="C37" s="181"/>
      <c r="D37" s="181"/>
      <c r="E37"/>
      <c r="F37" s="181"/>
      <c r="G37" s="181"/>
      <c r="H37"/>
      <c r="I37"/>
      <c r="J37"/>
      <c r="K37" s="127"/>
      <c r="L37" s="3"/>
      <c r="M37" s="3"/>
    </row>
    <row r="38" spans="1:13">
      <c r="A38" s="3"/>
      <c r="B38" s="186"/>
      <c r="C38" s="181"/>
      <c r="D38" s="181"/>
      <c r="E38"/>
      <c r="F38" s="181"/>
      <c r="G38" s="181"/>
      <c r="H38"/>
      <c r="I38"/>
      <c r="J38"/>
      <c r="K38" s="127"/>
      <c r="L38" s="3"/>
      <c r="M38" s="3"/>
    </row>
    <row r="39" spans="1:13">
      <c r="A39" s="3"/>
      <c r="B39" s="186"/>
      <c r="C39" s="181"/>
      <c r="D39" s="181"/>
      <c r="E39"/>
      <c r="F39" s="181"/>
      <c r="G39" s="181"/>
      <c r="H39"/>
      <c r="I39"/>
      <c r="J39"/>
      <c r="K39" s="127"/>
      <c r="L39" s="3"/>
      <c r="M39" s="3"/>
    </row>
    <row r="40" spans="1:13">
      <c r="A40" s="3"/>
      <c r="B40" s="186"/>
      <c r="C40" s="181"/>
      <c r="D40" s="181"/>
      <c r="E40"/>
      <c r="F40" s="181"/>
      <c r="G40" s="181"/>
      <c r="H40"/>
      <c r="I40"/>
      <c r="J40"/>
      <c r="K40" s="127"/>
      <c r="L40" s="3"/>
      <c r="M40" s="3"/>
    </row>
    <row r="41" spans="1:13">
      <c r="A41" s="3"/>
      <c r="B41" s="186"/>
      <c r="C41" s="181"/>
      <c r="D41" s="181"/>
      <c r="E41"/>
      <c r="F41" s="181"/>
      <c r="G41" s="181"/>
      <c r="H41"/>
      <c r="I41"/>
      <c r="J41"/>
      <c r="K41" s="127"/>
      <c r="L41" s="3"/>
      <c r="M41" s="3"/>
    </row>
  </sheetData>
  <sheetProtection password="C23C" sheet="1" objects="1" scenarios="1" selectLockedCells="1" selectUnlockedCells="1"/>
  <mergeCells count="2">
    <mergeCell ref="C5:K5"/>
    <mergeCell ref="C6:K6"/>
  </mergeCells>
  <phoneticPr fontId="18" type="noConversion"/>
  <pageMargins left="0.75000000000000011" right="0.75000000000000011" top="1" bottom="1" header="0.5" footer="0.5"/>
  <pageSetup scale="62" orientation="portrait" horizontalDpi="4294967292" verticalDpi="4294967292"/>
  <extLst>
    <ext xmlns:mx="http://schemas.microsoft.com/office/mac/excel/2008/main" uri="{64002731-A6B0-56B0-2670-7721B7C09600}">
      <mx:PLV Mode="0" OnePage="0" WScale="10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L26"/>
  <sheetViews>
    <sheetView workbookViewId="0">
      <selection activeCell="D25" sqref="D25"/>
    </sheetView>
  </sheetViews>
  <sheetFormatPr baseColWidth="10" defaultRowHeight="15" x14ac:dyDescent="0"/>
  <cols>
    <col min="1" max="1" width="4.33203125" bestFit="1" customWidth="1"/>
    <col min="2" max="2" width="15.83203125" customWidth="1"/>
    <col min="3" max="3" width="20.83203125" customWidth="1"/>
    <col min="4" max="4" width="40.83203125" customWidth="1"/>
    <col min="7" max="9" width="0" hidden="1" customWidth="1"/>
    <col min="10" max="10" width="15.83203125" customWidth="1"/>
    <col min="11" max="11" width="0" hidden="1" customWidth="1"/>
    <col min="12" max="12" width="15.83203125" customWidth="1"/>
  </cols>
  <sheetData>
    <row r="1" spans="1:12">
      <c r="A1" s="186"/>
      <c r="B1" s="181"/>
      <c r="C1" s="181"/>
      <c r="E1" s="181"/>
      <c r="F1" s="181"/>
      <c r="J1" s="127"/>
      <c r="K1" s="4"/>
      <c r="L1" s="7"/>
    </row>
    <row r="2" spans="1:12" ht="18">
      <c r="A2" s="182"/>
      <c r="B2" s="331"/>
      <c r="C2" s="75"/>
      <c r="D2" s="78" t="s">
        <v>0</v>
      </c>
      <c r="E2" s="234"/>
      <c r="F2" s="235"/>
      <c r="G2" s="79"/>
      <c r="H2" s="80"/>
      <c r="I2" s="81"/>
      <c r="J2" s="116"/>
      <c r="K2" s="80"/>
      <c r="L2" s="82"/>
    </row>
    <row r="3" spans="1:12" ht="18">
      <c r="A3" s="182"/>
      <c r="B3" s="331"/>
      <c r="C3" s="75"/>
      <c r="D3" s="78" t="s">
        <v>256</v>
      </c>
      <c r="E3" s="234"/>
      <c r="F3" s="235"/>
      <c r="G3" s="79"/>
      <c r="H3" s="80"/>
      <c r="I3" s="81"/>
      <c r="J3" s="116"/>
      <c r="K3" s="80"/>
      <c r="L3" s="82"/>
    </row>
    <row r="4" spans="1:12">
      <c r="A4" s="183"/>
      <c r="B4" s="332"/>
      <c r="C4" s="83"/>
      <c r="D4" s="85"/>
      <c r="E4" s="236"/>
      <c r="F4" s="236"/>
      <c r="G4" s="86"/>
      <c r="H4" s="9"/>
      <c r="I4" s="9"/>
      <c r="J4" s="115"/>
      <c r="K4" s="9"/>
      <c r="L4" s="9"/>
    </row>
    <row r="5" spans="1:12" ht="23">
      <c r="A5" s="104"/>
      <c r="B5" s="344" t="s">
        <v>252</v>
      </c>
      <c r="C5" s="344"/>
      <c r="D5" s="344"/>
      <c r="E5" s="344"/>
      <c r="F5" s="344"/>
      <c r="G5" s="344"/>
      <c r="H5" s="344"/>
      <c r="I5" s="344"/>
      <c r="J5" s="344"/>
      <c r="K5" s="105"/>
      <c r="L5" s="105"/>
    </row>
    <row r="6" spans="1:12" ht="23">
      <c r="A6" s="104"/>
      <c r="B6" s="344" t="s">
        <v>360</v>
      </c>
      <c r="C6" s="344"/>
      <c r="D6" s="344"/>
      <c r="E6" s="344"/>
      <c r="F6" s="344"/>
      <c r="G6" s="344"/>
      <c r="H6" s="344"/>
      <c r="I6" s="344"/>
      <c r="J6" s="344"/>
      <c r="K6" s="105"/>
      <c r="L6" s="105"/>
    </row>
    <row r="7" spans="1:12" ht="24" thickBot="1">
      <c r="A7" s="104"/>
      <c r="B7" s="180"/>
      <c r="C7" s="180"/>
      <c r="D7" s="43"/>
      <c r="E7" s="180"/>
      <c r="F7" s="180"/>
      <c r="G7" s="43"/>
      <c r="H7" s="43"/>
      <c r="I7" s="43"/>
      <c r="J7" s="43"/>
      <c r="K7" s="105"/>
      <c r="L7" s="105"/>
    </row>
    <row r="8" spans="1:12" ht="46" thickBot="1">
      <c r="A8" s="211" t="s">
        <v>1</v>
      </c>
      <c r="B8" s="321" t="s">
        <v>2</v>
      </c>
      <c r="C8" s="212" t="s">
        <v>3</v>
      </c>
      <c r="D8" s="212" t="s">
        <v>4</v>
      </c>
      <c r="E8" s="213" t="s">
        <v>5</v>
      </c>
      <c r="F8" s="213" t="s">
        <v>6</v>
      </c>
      <c r="G8" s="214" t="s">
        <v>7</v>
      </c>
      <c r="H8" s="215" t="s">
        <v>8</v>
      </c>
      <c r="I8" s="215" t="s">
        <v>9</v>
      </c>
      <c r="J8" s="216" t="s">
        <v>250</v>
      </c>
      <c r="K8" s="215" t="s">
        <v>10</v>
      </c>
      <c r="L8" s="217" t="s">
        <v>11</v>
      </c>
    </row>
    <row r="9" spans="1:12" ht="24">
      <c r="A9" s="204">
        <v>1</v>
      </c>
      <c r="B9" s="152" t="s">
        <v>351</v>
      </c>
      <c r="C9" s="152" t="s">
        <v>260</v>
      </c>
      <c r="D9" s="205" t="s">
        <v>259</v>
      </c>
      <c r="E9" s="149">
        <v>34921</v>
      </c>
      <c r="F9" s="149">
        <v>35053</v>
      </c>
      <c r="G9" s="207"/>
      <c r="H9" s="208"/>
      <c r="I9" s="209"/>
      <c r="J9" s="319">
        <v>32243200</v>
      </c>
      <c r="K9" s="208"/>
      <c r="L9" s="298">
        <f t="shared" ref="L9" si="0">J9/118934</f>
        <v>271.10161938554154</v>
      </c>
    </row>
    <row r="10" spans="1:12" ht="36">
      <c r="A10" s="188">
        <f>+A9+1</f>
        <v>2</v>
      </c>
      <c r="B10" s="94" t="s">
        <v>353</v>
      </c>
      <c r="C10" s="94" t="s">
        <v>263</v>
      </c>
      <c r="D10" s="154" t="s">
        <v>337</v>
      </c>
      <c r="E10" s="128">
        <v>35073</v>
      </c>
      <c r="F10" s="128">
        <v>35439</v>
      </c>
      <c r="G10" s="99"/>
      <c r="H10" s="67"/>
      <c r="I10" s="66"/>
      <c r="J10" s="153">
        <v>127453200</v>
      </c>
      <c r="K10" s="67"/>
      <c r="L10" s="192">
        <f>J10/142125</f>
        <v>896.76833773087071</v>
      </c>
    </row>
    <row r="11" spans="1:12" ht="24">
      <c r="A11" s="188">
        <f t="shared" ref="A11:A24" si="1">+A10+1</f>
        <v>3</v>
      </c>
      <c r="B11" s="94" t="s">
        <v>352</v>
      </c>
      <c r="C11" s="94" t="s">
        <v>263</v>
      </c>
      <c r="D11" s="37" t="s">
        <v>338</v>
      </c>
      <c r="E11" s="128">
        <v>35339</v>
      </c>
      <c r="F11" s="128">
        <v>35489</v>
      </c>
      <c r="G11" s="99"/>
      <c r="H11" s="67"/>
      <c r="I11" s="66"/>
      <c r="J11" s="153">
        <v>115323470</v>
      </c>
      <c r="K11" s="67"/>
      <c r="L11" s="192">
        <f>J11/142125</f>
        <v>811.42283201407213</v>
      </c>
    </row>
    <row r="12" spans="1:12">
      <c r="A12" s="351">
        <f t="shared" si="1"/>
        <v>4</v>
      </c>
      <c r="B12" s="336" t="s">
        <v>350</v>
      </c>
      <c r="C12" s="336" t="s">
        <v>264</v>
      </c>
      <c r="D12" s="361" t="s">
        <v>445</v>
      </c>
      <c r="E12" s="339">
        <v>35490</v>
      </c>
      <c r="F12" s="339">
        <v>35766</v>
      </c>
      <c r="G12" s="99"/>
      <c r="H12" s="67"/>
      <c r="I12" s="66"/>
      <c r="J12" s="357">
        <v>118675780</v>
      </c>
      <c r="K12" s="143"/>
      <c r="L12" s="352">
        <f t="shared" ref="L12:L13" si="2">J12/172005</f>
        <v>689.95540827301534</v>
      </c>
    </row>
    <row r="13" spans="1:12">
      <c r="A13" s="347"/>
      <c r="B13" s="336"/>
      <c r="C13" s="336"/>
      <c r="D13" s="362"/>
      <c r="E13" s="339"/>
      <c r="F13" s="339"/>
      <c r="G13" s="99"/>
      <c r="H13" s="67"/>
      <c r="I13" s="66"/>
      <c r="J13" s="357"/>
      <c r="K13" s="143"/>
      <c r="L13" s="353">
        <f t="shared" si="2"/>
        <v>0</v>
      </c>
    </row>
    <row r="14" spans="1:12" ht="36">
      <c r="A14" s="188">
        <v>5</v>
      </c>
      <c r="B14" s="323" t="s">
        <v>354</v>
      </c>
      <c r="C14" s="94" t="s">
        <v>281</v>
      </c>
      <c r="D14" s="37" t="s">
        <v>340</v>
      </c>
      <c r="E14" s="128">
        <v>36192</v>
      </c>
      <c r="F14" s="128">
        <v>36368</v>
      </c>
      <c r="G14" s="99"/>
      <c r="H14" s="67"/>
      <c r="I14" s="66"/>
      <c r="J14" s="155">
        <v>178200000</v>
      </c>
      <c r="K14" s="143"/>
      <c r="L14" s="312">
        <f>J14/236460</f>
        <v>753.61583354478557</v>
      </c>
    </row>
    <row r="15" spans="1:12" ht="108">
      <c r="A15" s="188">
        <f t="shared" si="1"/>
        <v>6</v>
      </c>
      <c r="B15" s="322" t="s">
        <v>332</v>
      </c>
      <c r="C15" s="53" t="s">
        <v>93</v>
      </c>
      <c r="D15" s="139" t="s">
        <v>333</v>
      </c>
      <c r="E15" s="128">
        <v>37501</v>
      </c>
      <c r="F15" s="128">
        <v>37638</v>
      </c>
      <c r="G15" s="99"/>
      <c r="H15" s="67"/>
      <c r="I15" s="66"/>
      <c r="J15" s="151">
        <v>46440000</v>
      </c>
      <c r="K15" s="143"/>
      <c r="L15" s="189">
        <f>J15/309000</f>
        <v>150.29126213592232</v>
      </c>
    </row>
    <row r="16" spans="1:12" ht="24">
      <c r="A16" s="188">
        <f t="shared" si="1"/>
        <v>7</v>
      </c>
      <c r="B16" s="53" t="s">
        <v>363</v>
      </c>
      <c r="C16" s="53" t="s">
        <v>217</v>
      </c>
      <c r="D16" s="38" t="s">
        <v>364</v>
      </c>
      <c r="E16" s="131">
        <v>37774</v>
      </c>
      <c r="F16" s="131">
        <v>38137</v>
      </c>
      <c r="G16" s="19">
        <f t="shared" ref="G16" si="3">+F16-E16</f>
        <v>363</v>
      </c>
      <c r="H16" s="52">
        <v>358000</v>
      </c>
      <c r="I16" s="66"/>
      <c r="J16" s="119">
        <f>958500000*0.1</f>
        <v>95850000</v>
      </c>
      <c r="K16" s="67"/>
      <c r="L16" s="189">
        <f>J16/332000</f>
        <v>288.70481927710841</v>
      </c>
    </row>
    <row r="17" spans="1:12" ht="24">
      <c r="A17" s="188">
        <f t="shared" si="1"/>
        <v>8</v>
      </c>
      <c r="B17" s="28" t="s">
        <v>334</v>
      </c>
      <c r="C17" s="28" t="s">
        <v>335</v>
      </c>
      <c r="D17" s="33" t="s">
        <v>348</v>
      </c>
      <c r="E17" s="128">
        <v>39846</v>
      </c>
      <c r="F17" s="128">
        <v>39905</v>
      </c>
      <c r="G17" s="156"/>
      <c r="H17" s="67"/>
      <c r="I17" s="66"/>
      <c r="J17" s="118">
        <v>98600580</v>
      </c>
      <c r="K17" s="67"/>
      <c r="L17" s="192">
        <f>+J17/496900</f>
        <v>198.43143489635742</v>
      </c>
    </row>
    <row r="18" spans="1:12" ht="36">
      <c r="A18" s="188">
        <f t="shared" si="1"/>
        <v>9</v>
      </c>
      <c r="B18" s="28" t="s">
        <v>336</v>
      </c>
      <c r="C18" s="28" t="s">
        <v>335</v>
      </c>
      <c r="D18" s="37" t="s">
        <v>446</v>
      </c>
      <c r="E18" s="128">
        <v>40007</v>
      </c>
      <c r="F18" s="128">
        <v>40458</v>
      </c>
      <c r="G18" s="99"/>
      <c r="H18" s="67"/>
      <c r="I18" s="66"/>
      <c r="J18" s="118">
        <v>88807200</v>
      </c>
      <c r="K18" s="67"/>
      <c r="L18" s="192">
        <f>+J18/496900</f>
        <v>178.72247937210707</v>
      </c>
    </row>
    <row r="19" spans="1:12" ht="36">
      <c r="A19" s="188">
        <f t="shared" si="1"/>
        <v>10</v>
      </c>
      <c r="B19" s="110" t="s">
        <v>161</v>
      </c>
      <c r="C19" s="110" t="s">
        <v>281</v>
      </c>
      <c r="D19" s="109" t="s">
        <v>365</v>
      </c>
      <c r="E19" s="130">
        <v>40360</v>
      </c>
      <c r="F19" s="130">
        <v>40725</v>
      </c>
      <c r="G19" s="167">
        <v>405250380</v>
      </c>
      <c r="H19" s="168">
        <v>756.63</v>
      </c>
      <c r="I19" s="66"/>
      <c r="J19" s="118">
        <v>38765200</v>
      </c>
      <c r="K19" s="67"/>
      <c r="L19" s="192">
        <f>+J19/515000</f>
        <v>75.272233009708742</v>
      </c>
    </row>
    <row r="20" spans="1:12" ht="24">
      <c r="A20" s="188">
        <f t="shared" si="1"/>
        <v>11</v>
      </c>
      <c r="B20" s="179" t="s">
        <v>369</v>
      </c>
      <c r="C20" s="179" t="s">
        <v>172</v>
      </c>
      <c r="D20" s="136" t="s">
        <v>372</v>
      </c>
      <c r="E20" s="239">
        <v>40929</v>
      </c>
      <c r="F20" s="239">
        <v>41081</v>
      </c>
      <c r="G20" s="167">
        <v>955298500</v>
      </c>
      <c r="H20" s="168">
        <v>1685.72</v>
      </c>
      <c r="I20" s="66"/>
      <c r="J20" s="119">
        <v>123567890</v>
      </c>
      <c r="K20" s="67"/>
      <c r="L20" s="192">
        <f>+J20/566700</f>
        <v>218.04815599082406</v>
      </c>
    </row>
    <row r="21" spans="1:12" ht="24">
      <c r="A21" s="188">
        <f t="shared" si="1"/>
        <v>12</v>
      </c>
      <c r="B21" s="159" t="s">
        <v>370</v>
      </c>
      <c r="C21" s="159" t="s">
        <v>170</v>
      </c>
      <c r="D21" s="138" t="s">
        <v>373</v>
      </c>
      <c r="E21" s="240">
        <v>41320</v>
      </c>
      <c r="F21" s="240">
        <v>41532</v>
      </c>
      <c r="G21" s="169">
        <v>334235760</v>
      </c>
      <c r="H21" s="170">
        <v>566.98</v>
      </c>
      <c r="I21" s="66"/>
      <c r="J21" s="119">
        <v>43256970</v>
      </c>
      <c r="K21" s="67"/>
      <c r="L21" s="192">
        <f>+J21/589500</f>
        <v>73.379083969465654</v>
      </c>
    </row>
    <row r="22" spans="1:12" ht="36">
      <c r="A22" s="188">
        <f t="shared" si="1"/>
        <v>13</v>
      </c>
      <c r="B22" s="28" t="s">
        <v>349</v>
      </c>
      <c r="C22" s="28" t="s">
        <v>347</v>
      </c>
      <c r="D22" s="37" t="s">
        <v>375</v>
      </c>
      <c r="E22" s="128">
        <v>40361</v>
      </c>
      <c r="F22" s="128">
        <v>42064</v>
      </c>
      <c r="G22" s="99"/>
      <c r="H22" s="67"/>
      <c r="I22" s="66"/>
      <c r="J22" s="155">
        <v>252346250</v>
      </c>
      <c r="K22" s="67"/>
      <c r="L22" s="192">
        <f>+J22/589500</f>
        <v>428.06827820186601</v>
      </c>
    </row>
    <row r="23" spans="1:12" ht="48">
      <c r="A23" s="188">
        <f t="shared" si="1"/>
        <v>14</v>
      </c>
      <c r="B23" s="28" t="s">
        <v>377</v>
      </c>
      <c r="C23" s="28" t="s">
        <v>347</v>
      </c>
      <c r="D23" s="37" t="s">
        <v>376</v>
      </c>
      <c r="E23" s="128">
        <v>40361</v>
      </c>
      <c r="F23" s="128">
        <v>42064</v>
      </c>
      <c r="G23" s="99"/>
      <c r="H23" s="67"/>
      <c r="I23" s="66"/>
      <c r="J23" s="155">
        <v>52346250</v>
      </c>
      <c r="K23" s="67"/>
      <c r="L23" s="192">
        <f>+J23/589500</f>
        <v>88.797709923664115</v>
      </c>
    </row>
    <row r="24" spans="1:12" ht="25" thickBot="1">
      <c r="A24" s="225">
        <f t="shared" si="1"/>
        <v>15</v>
      </c>
      <c r="B24" s="314" t="s">
        <v>371</v>
      </c>
      <c r="C24" s="314" t="s">
        <v>170</v>
      </c>
      <c r="D24" s="313" t="s">
        <v>374</v>
      </c>
      <c r="E24" s="258">
        <v>43506</v>
      </c>
      <c r="F24" s="258">
        <v>43580</v>
      </c>
      <c r="G24" s="315">
        <v>212345670</v>
      </c>
      <c r="H24" s="316">
        <v>256.42</v>
      </c>
      <c r="I24" s="296"/>
      <c r="J24" s="317">
        <v>23576132</v>
      </c>
      <c r="K24" s="318"/>
      <c r="L24" s="203">
        <f>+J24/828116</f>
        <v>28.469600877171796</v>
      </c>
    </row>
    <row r="25" spans="1:12">
      <c r="A25" s="184"/>
      <c r="B25" s="333"/>
      <c r="C25" s="15"/>
      <c r="D25" s="3"/>
      <c r="E25" s="144"/>
      <c r="F25" s="144"/>
      <c r="G25" s="6"/>
      <c r="H25" s="4"/>
      <c r="I25" s="7"/>
      <c r="J25" s="117"/>
      <c r="K25" s="4"/>
      <c r="L25" s="7"/>
    </row>
    <row r="26" spans="1:12">
      <c r="A26" s="186"/>
      <c r="B26" s="181"/>
      <c r="C26" s="181"/>
      <c r="E26" s="181"/>
      <c r="F26" s="181"/>
      <c r="J26" s="127"/>
      <c r="K26" s="4"/>
      <c r="L26" s="7"/>
    </row>
  </sheetData>
  <sheetProtection password="C23C" sheet="1" objects="1" scenarios="1" selectLockedCells="1" selectUnlockedCells="1"/>
  <mergeCells count="10">
    <mergeCell ref="L12:L13"/>
    <mergeCell ref="B5:J5"/>
    <mergeCell ref="B6:J6"/>
    <mergeCell ref="A12:A13"/>
    <mergeCell ref="B12:B13"/>
    <mergeCell ref="C12:C13"/>
    <mergeCell ref="D12:D13"/>
    <mergeCell ref="E12:E13"/>
    <mergeCell ref="F12:F13"/>
    <mergeCell ref="J12:J13"/>
  </mergeCells>
  <phoneticPr fontId="18" type="noConversion"/>
  <pageMargins left="0.75000000000000011" right="0.75000000000000011" top="1" bottom="1" header="0.5" footer="0.5"/>
  <pageSetup scale="62" orientation="portrait" horizontalDpi="4294967292" verticalDpi="4294967292"/>
  <extLst>
    <ext xmlns:mx="http://schemas.microsoft.com/office/mac/excel/2008/main" uri="{64002731-A6B0-56B0-2670-7721B7C09600}">
      <mx:PLV Mode="0" OnePage="0" WScale="10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28" sqref="E28"/>
    </sheetView>
  </sheetViews>
  <sheetFormatPr baseColWidth="10" defaultRowHeight="15" x14ac:dyDescent="0"/>
  <sheetData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14</vt:i4>
      </vt:variant>
    </vt:vector>
  </HeadingPairs>
  <TitlesOfParts>
    <vt:vector size="14" baseType="lpstr">
      <vt:lpstr>RESUMEN</vt:lpstr>
      <vt:lpstr>FACTIBIL., ESTRUC., E INVERSION</vt:lpstr>
      <vt:lpstr>CONSULTORIA  Y DISEÑOS</vt:lpstr>
      <vt:lpstr>AEROPUERTOS</vt:lpstr>
      <vt:lpstr>CARRETERAS</vt:lpstr>
      <vt:lpstr>VIAS URBANAS</vt:lpstr>
      <vt:lpstr>PUENTES Y PONTONES</vt:lpstr>
      <vt:lpstr>PARQUES Y E. DEPORTIVOS</vt:lpstr>
      <vt:lpstr>EDIFICACIONES Y VIVIENDAS</vt:lpstr>
      <vt:lpstr>PLANTAS INDUSTRIALES</vt:lpstr>
      <vt:lpstr>OBRAS HIDRAULICAS Y SANITARIAS</vt:lpstr>
      <vt:lpstr>OBRAS ELECTRICAS Y TELECOMUNIC.</vt:lpstr>
      <vt:lpstr>INTERVENTORIAS</vt:lpstr>
      <vt:lpstr>Hoja14</vt:lpstr>
    </vt:vector>
  </TitlesOfParts>
  <Company>GRUPO COORDINAR SAS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Billy Belzner</dc:creator>
  <cp:lastModifiedBy>Billy Belzner</cp:lastModifiedBy>
  <cp:lastPrinted>2019-05-06T18:33:36Z</cp:lastPrinted>
  <dcterms:created xsi:type="dcterms:W3CDTF">2019-04-23T21:33:56Z</dcterms:created>
  <dcterms:modified xsi:type="dcterms:W3CDTF">2019-05-07T01:25:06Z</dcterms:modified>
</cp:coreProperties>
</file>